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60" yWindow="90" windowWidth="12825" windowHeight="10110"/>
  </bookViews>
  <sheets>
    <sheet name="ACESSO" sheetId="1" r:id="rId1"/>
    <sheet name="Plan1" sheetId="2" r:id="rId2"/>
  </sheets>
  <definedNames>
    <definedName name="_xlnm.Print_Area" localSheetId="0">ACESSO!$A$1:$X$108</definedName>
    <definedName name="_xlnm.Print_Titles" localSheetId="0">ACESSO!$1:$10</definedName>
  </definedNames>
  <calcPr calcId="124519"/>
</workbook>
</file>

<file path=xl/calcChain.xml><?xml version="1.0" encoding="utf-8"?>
<calcChain xmlns="http://schemas.openxmlformats.org/spreadsheetml/2006/main">
  <c r="L76" i="1"/>
  <c r="M19"/>
  <c r="M18"/>
  <c r="M17"/>
  <c r="M86"/>
  <c r="M87"/>
  <c r="M88"/>
  <c r="M89"/>
  <c r="M59"/>
  <c r="M60"/>
  <c r="M54"/>
  <c r="K53"/>
  <c r="M53" s="1"/>
  <c r="K46" l="1"/>
  <c r="K44"/>
  <c r="K43" l="1"/>
  <c r="M43" s="1"/>
  <c r="M44"/>
  <c r="K45"/>
  <c r="M45" s="1"/>
  <c r="M46"/>
  <c r="K63"/>
  <c r="M63" s="1"/>
  <c r="K62"/>
  <c r="M62" s="1"/>
  <c r="K61"/>
  <c r="M61" s="1"/>
  <c r="K104"/>
  <c r="M104" s="1"/>
  <c r="K103"/>
  <c r="M103" s="1"/>
  <c r="M102"/>
  <c r="H34" i="2"/>
  <c r="N28"/>
  <c r="N27"/>
  <c r="N26"/>
  <c r="K72" i="1"/>
  <c r="M72" s="1"/>
  <c r="H33" i="2"/>
  <c r="K67" i="1"/>
  <c r="M67" s="1"/>
  <c r="L29" i="2"/>
  <c r="M28"/>
  <c r="M27"/>
  <c r="M26"/>
  <c r="M29" s="1"/>
  <c r="K70" i="1"/>
  <c r="M70" s="1"/>
  <c r="P19" i="2"/>
  <c r="K68" i="1" s="1"/>
  <c r="M68" s="1"/>
  <c r="R19" i="2"/>
  <c r="K6"/>
  <c r="J6"/>
  <c r="J19" s="1"/>
  <c r="I6"/>
  <c r="P10"/>
  <c r="O10"/>
  <c r="O19" s="1"/>
  <c r="N10"/>
  <c r="M10"/>
  <c r="L10"/>
  <c r="I10"/>
  <c r="P9"/>
  <c r="O9"/>
  <c r="N9"/>
  <c r="M9"/>
  <c r="L9"/>
  <c r="I9"/>
  <c r="H9"/>
  <c r="H10"/>
  <c r="H6"/>
  <c r="K8"/>
  <c r="I8"/>
  <c r="H8"/>
  <c r="Q7"/>
  <c r="Q19" s="1"/>
  <c r="K81" i="1" s="1"/>
  <c r="M81" s="1"/>
  <c r="K7" i="2"/>
  <c r="I7"/>
  <c r="I19" s="1"/>
  <c r="K71" i="1" s="1"/>
  <c r="M71" s="1"/>
  <c r="H7" i="2"/>
  <c r="M19" l="1"/>
  <c r="K77" i="1" s="1"/>
  <c r="M77" s="1"/>
  <c r="N19" i="2"/>
  <c r="K78" i="1" s="1"/>
  <c r="M78" s="1"/>
  <c r="L19" i="2"/>
  <c r="K75" i="1" s="1"/>
  <c r="M75" s="1"/>
  <c r="H19" i="2"/>
  <c r="K69" i="1" s="1"/>
  <c r="M69" s="1"/>
  <c r="K19" i="2"/>
  <c r="K66" i="1" s="1"/>
  <c r="M66" s="1"/>
  <c r="K76"/>
  <c r="M76" s="1"/>
  <c r="M105"/>
  <c r="L74" s="1"/>
  <c r="M74" s="1"/>
  <c r="N29" i="2"/>
  <c r="K73" i="1" s="1"/>
  <c r="M73" s="1"/>
  <c r="K64"/>
  <c r="M64" s="1"/>
  <c r="K82"/>
  <c r="M82" s="1"/>
  <c r="K58" l="1"/>
  <c r="K93"/>
  <c r="K42"/>
  <c r="K52" s="1"/>
  <c r="K38"/>
  <c r="K37"/>
  <c r="M37" s="1"/>
  <c r="K36"/>
  <c r="K32"/>
  <c r="K39" l="1"/>
  <c r="M39" s="1"/>
  <c r="M38"/>
  <c r="K47"/>
  <c r="M47" s="1"/>
  <c r="K50"/>
  <c r="M50" s="1"/>
  <c r="K51"/>
  <c r="M51" s="1"/>
  <c r="K55"/>
  <c r="M55" s="1"/>
  <c r="M31"/>
  <c r="B8" i="2"/>
  <c r="C8"/>
  <c r="K29" i="1" s="1"/>
  <c r="K33" s="1"/>
  <c r="M93"/>
  <c r="M85"/>
  <c r="M52"/>
  <c r="M28"/>
  <c r="M30"/>
  <c r="M90" l="1"/>
  <c r="B12" i="2"/>
  <c r="B13" s="1"/>
  <c r="K92" i="1"/>
  <c r="M92" s="1"/>
  <c r="M94" s="1"/>
  <c r="K27"/>
  <c r="M29"/>
  <c r="M32"/>
  <c r="M33"/>
  <c r="M42"/>
  <c r="M56" s="1"/>
  <c r="M58" l="1"/>
  <c r="M83" s="1"/>
  <c r="M36"/>
  <c r="M40" s="1"/>
  <c r="M27"/>
  <c r="M34" s="1"/>
  <c r="M16"/>
  <c r="M20" s="1"/>
  <c r="M96" l="1"/>
  <c r="M97" l="1"/>
  <c r="M98" s="1"/>
  <c r="M99" l="1"/>
</calcChain>
</file>

<file path=xl/sharedStrings.xml><?xml version="1.0" encoding="utf-8"?>
<sst xmlns="http://schemas.openxmlformats.org/spreadsheetml/2006/main" count="422" uniqueCount="238">
  <si>
    <t>UNID.</t>
  </si>
  <si>
    <t>2.3</t>
  </si>
  <si>
    <t>2.2</t>
  </si>
  <si>
    <t>2.1</t>
  </si>
  <si>
    <t>m</t>
  </si>
  <si>
    <t>TOTAL</t>
  </si>
  <si>
    <t>UNIT.</t>
  </si>
  <si>
    <t>QUANT.</t>
  </si>
  <si>
    <t>DESCRIÇÃO</t>
  </si>
  <si>
    <t>ITEM</t>
  </si>
  <si>
    <t>Responsável:</t>
  </si>
  <si>
    <t>Cliente:</t>
  </si>
  <si>
    <t>Projeto:</t>
  </si>
  <si>
    <t>Revisão:</t>
  </si>
  <si>
    <t>2.4</t>
  </si>
  <si>
    <t>3.1</t>
  </si>
  <si>
    <t>4.1</t>
  </si>
  <si>
    <t>4.4</t>
  </si>
  <si>
    <t>ADMINISTRAÇÃO LOCAL E INSTALAÇÃO DA OBRA</t>
  </si>
  <si>
    <t>1.1</t>
  </si>
  <si>
    <t>1.2</t>
  </si>
  <si>
    <t>1.3</t>
  </si>
  <si>
    <t>unidade</t>
  </si>
  <si>
    <t>m²</t>
  </si>
  <si>
    <t>m³</t>
  </si>
  <si>
    <t>4.5</t>
  </si>
  <si>
    <t>4.6</t>
  </si>
  <si>
    <t>TOTAL GERAL</t>
  </si>
  <si>
    <t>TOTAL - ADMINISTRAÇÃO LOCAL E INSTALAÇÃO DA OBRA</t>
  </si>
  <si>
    <t>Data:</t>
  </si>
  <si>
    <t>3.2</t>
  </si>
  <si>
    <t>3.3</t>
  </si>
  <si>
    <t>1.4</t>
  </si>
  <si>
    <t>REFERÊNCIA</t>
  </si>
  <si>
    <t>Data Base SINAPI:</t>
  </si>
  <si>
    <t>Data Base DER/SP:</t>
  </si>
  <si>
    <t>LOCACAO DA OBRA, COM USO DE EQUIPAMENTOS TOPOGRAFICOS, INCLUSIVE NIVELADOR</t>
  </si>
  <si>
    <t xml:space="preserve">Sinapi </t>
  </si>
  <si>
    <t>PLACA DE OBRA EM CHAPA DE ACO GALVANIZADO</t>
  </si>
  <si>
    <t xml:space="preserve">DERRUBADA E DEST.ARV.C/PERIMETRO&gt;78CM                                          </t>
  </si>
  <si>
    <t>22.01.04</t>
  </si>
  <si>
    <t>DER/SP</t>
  </si>
  <si>
    <t>GUIA (MEIO-FIO) E SARJETA CONJUGADOS DE CONCRETO, MOLDADA IN LOCO EM TRECHO CURVO COM EXTRUSORA, GUIA 12,5 CM BASE X 22 CM ALTURA, SARJETA 30 CM BASE X 8,5 CM ALTURA. AF_06/2016</t>
  </si>
  <si>
    <t>IMPLANTAÇÃO DO ACESSO</t>
  </si>
  <si>
    <t>TOTAL - IMPLANTAÇÃO DO ACESSO</t>
  </si>
  <si>
    <t>QUANTITATIVOS E ORÇAMENTO - ACESSO À ACG</t>
  </si>
  <si>
    <t xml:space="preserve">DESMATAMENTO E LIMPEZA MECANIZADA DE TERRENO COM REMOCAO DE CAMADA VEGETAL, UTILIZANDO TRATOR DE ESTEIRAS                                               </t>
  </si>
  <si>
    <t>73859/001</t>
  </si>
  <si>
    <t xml:space="preserve">TRANSPORTE COM CAMINHÃO BASCULANTE DE 18 M3, EM VIA URBANA PAVIMENTADA , DMT ATÉ 30 KM (UNIDADE: TXKM). AF_12/2016                                  </t>
  </si>
  <si>
    <t>t*km</t>
  </si>
  <si>
    <t>74005/002</t>
  </si>
  <si>
    <t>DEMOLIÇÃO DE PAVIMENTAÇÃO ASFÁLTICA COM UTILIZAÇÃO DE MARTELO PERFURADOR, ESPESSURA ATÉ 15 CM, EXCLUSIVE CARGA E TRANSPORTE</t>
  </si>
  <si>
    <t>1.5</t>
  </si>
  <si>
    <t>1.6</t>
  </si>
  <si>
    <t>REGULARIZACAO E COMPACTACAO DE SUBLEITO ATE 20 CM DE ESPESSURA</t>
  </si>
  <si>
    <t>BASE DE SOLO - BRITA (50/50), MISTURA EM USINA, COMPACTACAO 100% PROCTOR MODIFICADO, EXCLUSIVE ESCAVACAO, CARGA E TRANSPORTE</t>
  </si>
  <si>
    <t>EXECUÇÃO E COMPACTAÇÃO DE BASE E OU SUB BASE COM BRITA GRADUADA SIMPLES - EXCLUSIVE CARGA E TRANSPORTE. AF_09/2017</t>
  </si>
  <si>
    <t>Sinapi</t>
  </si>
  <si>
    <t>m³xkm</t>
  </si>
  <si>
    <t>3.5</t>
  </si>
  <si>
    <t>3.6</t>
  </si>
  <si>
    <t>3.7</t>
  </si>
  <si>
    <t>PAISAGISMO</t>
  </si>
  <si>
    <t>Acesso à ACG do Brasil</t>
  </si>
  <si>
    <t>ESPALHAMENTO DE MATERIAL EM BOTA FORA, COM UTILIZACAO DE TRATOR DE ESTEIRAS DE 165 HP</t>
  </si>
  <si>
    <t xml:space="preserve">COMPACTACAO MECANICA C/ CONTROLE DO GC&gt;=95% DO PN (AREAS) (C/MONIVELADORA 140 HP E ROLO COMPRESSOR VIBRATORIO 80 HP)                                  </t>
  </si>
  <si>
    <t xml:space="preserve">CORTE E ATERRO COMPENSADO             </t>
  </si>
  <si>
    <t>5.1</t>
  </si>
  <si>
    <t>5.2</t>
  </si>
  <si>
    <t>5.3</t>
  </si>
  <si>
    <t>5.4</t>
  </si>
  <si>
    <t>DESMATAMENTO E LIMPEZA MECANIZADA DE TERRENO COM ARVORES ATE Ø 15CM, UTILIZANDO TRATOR DE ESTEIRAS</t>
  </si>
  <si>
    <t xml:space="preserve">73788/002 </t>
  </si>
  <si>
    <t>73967/002</t>
  </si>
  <si>
    <t>73967/001</t>
  </si>
  <si>
    <t>PLANTIO DE ARVORE REGIONAL, ALTURA MAIOR QUE 2,00M, EM CAVAS DE 80X80X80 - INCLUSIVE PREPARO DO SOLO</t>
  </si>
  <si>
    <t>PLANTIO DE ARVORE, ALTURA DE 1,00M, EM CAVAS DE 80X80X80CM - INCLUSIVE PREPARO DO SOLO</t>
  </si>
  <si>
    <t>74236/001</t>
  </si>
  <si>
    <t>PLANTIO DE GRAMA BATATAIS EM PLACAS - INCLUSIVE PREPARO DO SOLO</t>
  </si>
  <si>
    <t>5.5</t>
  </si>
  <si>
    <t>1.7</t>
  </si>
  <si>
    <t>SINALIZAÇÃO</t>
  </si>
  <si>
    <t xml:space="preserve">GRADE EM MADEIRA PARA PROTECAO DE MUDAS DE ARVORES </t>
  </si>
  <si>
    <t>SINALIZACAO HORIZONTAL COM TINTA RETRORREFLETIVA A BASE DE RESINA ACRILICA COM MICROESFERAS DE VIDRO</t>
  </si>
  <si>
    <t>6.1</t>
  </si>
  <si>
    <t>AVENIDA</t>
  </si>
  <si>
    <t>ACESSO</t>
  </si>
  <si>
    <t>EXTENSÃO</t>
  </si>
  <si>
    <t>LARGURA</t>
  </si>
  <si>
    <t>FORN. E IMPLANTAÇÃO PLACA SINALIZ. TOT.REFLETIVA</t>
  </si>
  <si>
    <t>6.2</t>
  </si>
  <si>
    <t>DRENAGEM</t>
  </si>
  <si>
    <t>PAVIMENTAÇÃO</t>
  </si>
  <si>
    <t>TERRAPLENAGEM</t>
  </si>
  <si>
    <t>SERVIÇOS PRELIMINARES</t>
  </si>
  <si>
    <t>INSTALAÇÕES E ADMINISTRAÇÃO</t>
  </si>
  <si>
    <t xml:space="preserve"> TRANSPORTE DE PAVIMENTACAO REMOVIDA (RODOVIAS NAO URBANAS) - 10 KM</t>
  </si>
  <si>
    <t>Sicro</t>
  </si>
  <si>
    <t xml:space="preserve">4 S 06 200 02 </t>
  </si>
  <si>
    <t>EXECUÇÃO DE PAVIMENTO EM PISO INTERTRAVADO, COM BLOCO SEXTAVADO DE 25 X 25 CM, ESPESSURA 6 CM. AF_12/2015</t>
  </si>
  <si>
    <t>SUBTOTAL</t>
  </si>
  <si>
    <t>RESPONSÁVEL TÉCNICO:</t>
  </si>
  <si>
    <t xml:space="preserve">PROJETO EXECUTIVO DE VIA DE ACESSO </t>
  </si>
  <si>
    <t>ENGª. CIVIL FLÁVIA CRISTINA BARBOSA - CREA MG 187.842/D</t>
  </si>
  <si>
    <t>ESCAVAÇÃO</t>
  </si>
  <si>
    <t>APILOAMENTO MANUAL</t>
  </si>
  <si>
    <t>kg</t>
  </si>
  <si>
    <t>BDI 23%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</si>
  <si>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</si>
  <si>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</si>
  <si>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</si>
  <si>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</si>
  <si>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</si>
  <si>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</si>
  <si>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</si>
  <si>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</si>
  <si>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</si>
  <si>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</si>
  <si>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</si>
  <si>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</si>
  <si>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</si>
  <si>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</si>
  <si>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</si>
  <si>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</si>
  <si>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</si>
  <si>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</si>
  <si>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</si>
  <si>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</si>
  <si>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</si>
  <si>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</si>
  <si>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</si>
  <si>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</si>
  <si>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</si>
  <si>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</si>
  <si>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</si>
  <si>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</si>
  <si>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</si>
  <si>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</si>
  <si>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</si>
  <si>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</si>
  <si>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</si>
  <si>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</si>
  <si>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</si>
  <si>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</si>
  <si>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</si>
  <si>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FÔRMAS</t>
  </si>
  <si>
    <t>AREIA FINA - POSTO JAZIDA/FORNECEDOR (RETIRADO NA JAZIDA, SEM TRANSPORTE)</t>
  </si>
  <si>
    <t xml:space="preserve"> CIMENTO PORTLAND COMPOSTO CP II-32</t>
  </si>
  <si>
    <t>PEDRA BRITADA N. 2 (19 A 38 MM) POSTO PEDREIRA/FORNECEDOR, SEM FRETE</t>
  </si>
  <si>
    <t>EMBASAMENTO C/PEDRA ARGAMASSADA UTILIZANDO ARG.CIM/AREIA 1:4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</si>
  <si>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</si>
  <si>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</si>
  <si>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</si>
  <si>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</si>
  <si>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</si>
  <si>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</si>
  <si>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</si>
  <si>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</si>
  <si>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EMBASAMENTO DE MATERIAL GRANULAR - RACHAO</t>
  </si>
  <si>
    <t>73817/002</t>
  </si>
  <si>
    <t>CANAL 2</t>
  </si>
  <si>
    <t>CANAL 3</t>
  </si>
  <si>
    <t>BACIA DISSIPAÇÃO</t>
  </si>
  <si>
    <t>M³</t>
  </si>
  <si>
    <t>M3</t>
  </si>
  <si>
    <t>MÃO DE OBRA EXECUÇÃO DO CANAL E DA BACIA DE DISSIPAÇÃO</t>
  </si>
  <si>
    <t>Composição 1</t>
  </si>
  <si>
    <t xml:space="preserve"> ENGENHEIRO CIVIL DE OBRA PLENO COM ENCARGOS COMPLEMENTARES</t>
  </si>
  <si>
    <t>MÊS</t>
  </si>
  <si>
    <t>4.2</t>
  </si>
  <si>
    <t>4.3</t>
  </si>
  <si>
    <t>TUBO DE CONCRETO PARA REDES COLETORAS DE ÁGUAS PLUVIAIS, DIÂMETRO DE 600 MM, JUNTA RÍGIDA, INSTALADO EM LOCAL COM BAIXO NÍVEL DE INTERFERÊNCIAS - FORNECIMENTO E ASSENTAMENTO. AF_12/2015</t>
  </si>
  <si>
    <t>TUBO DE CONCRETO PARA REDES COLETORAS DE ÁGUAS PLUVIAIS, DIÂMETRO DE 1000 MM, JUNTA RÍGIDA, INSTALADO EM LOCAL COM BAIXO NÍVEL DE INTERFERÊNCIAS - FORNECIMENTO E ASSENTAMENTO. AF_12/2015</t>
  </si>
  <si>
    <t>TUBO DE CONCRETO PARA REDES COLETORAS DE ÁGUAS PLUVIAIS, DIÂMETRO DE 800 MM, JUNTA RÍGIDA, INSTALADO EM LOCAL COM BAIXO NÍVEL DE INTERFERÊNCIAS - FORNECIMENTO E ASSENTAMENTO. AF_12/2015</t>
  </si>
  <si>
    <t>ASSENTAMENTO DE TUBO DE CONCRETO PARA REDES COLETORAS DE ÁGUAS PLUVIAIS, DIÂMETRO DE 600 MM, JUNTA RÍGIDA, INSTALADO EM LOCAL COM BAIXO NÍVEL DE INTERFERÊNCIAS (NÃO INCLUI FORNECIMENTO). AF_12/2015</t>
  </si>
  <si>
    <t>ASSENTAMENTO DE TUBO DE CONCRETO PARA REDES COLETORAS DE ÁGUAS PLUVIAIS, DIÂMETRO DE 800 MM, JUNTA RÍGIDA, INSTALADO EM LOCAL COM BAIXO NÍVEL DE INTERFERÊNCIAS (NÃO INCLUI FORNECIMENTO). AF_12/2016</t>
  </si>
  <si>
    <t>ASSENTAMENTO DE TUBO DE CONCRETO PARA REDES COLETORAS DE ÁGUAS PLUVIAIS, DIÂMETRO DE 1000 MM, JUNTA RÍGIDA, INSTALADO EM LOCAL COM BAIXO NÍVEL DE INTERFERÊNCIAS (NÃO INCLUI FORNECIMENTO). AF_12/2017</t>
  </si>
  <si>
    <t>4.7</t>
  </si>
  <si>
    <t>4.8</t>
  </si>
  <si>
    <t>4.8.1</t>
  </si>
  <si>
    <t>4.8.2</t>
  </si>
  <si>
    <t>4.8.3</t>
  </si>
  <si>
    <t>4.8.4</t>
  </si>
  <si>
    <t>4.8.5</t>
  </si>
  <si>
    <t>4.8.6</t>
  </si>
  <si>
    <t>4.8.7</t>
  </si>
  <si>
    <t>4.8.8</t>
  </si>
  <si>
    <t>4.8.9</t>
  </si>
  <si>
    <t>4.8.10</t>
  </si>
  <si>
    <t>4.8.11</t>
  </si>
  <si>
    <t>4.8.12</t>
  </si>
  <si>
    <t>4.8.13</t>
  </si>
  <si>
    <t>4.8.14</t>
  </si>
  <si>
    <t>COMPOSIÇÃO 1 - MÃO DE OBRA PARA EXECUÇÃO DOS CANAIS E BACIA DE DISSIPAÇÃO</t>
  </si>
  <si>
    <t>SERVENTE COM ENCARGOS COMPLEMENTARES - (2)</t>
  </si>
  <si>
    <t xml:space="preserve"> PEDREIRO COM ENCARGOS COMPLEMENTARES - (2)</t>
  </si>
  <si>
    <t xml:space="preserve"> EXECUÇÃO DE IMPRIMAÇÃO COM ASFALTO DILUÍDO CM-30. AF_09/2017                                </t>
  </si>
  <si>
    <t>CONSTRUÇÃO DE PAVIMENTO COM APLICAÇÃO DE CONCRETO BETUMINOSO USINADO A QUENTE (CBUQ), CAMADA DE ROLAENTO, COM ESPESSURA DE 5,0 CM - EXCLUSIVE TRANSPORTE. AF_03/2017</t>
  </si>
  <si>
    <t>R04</t>
  </si>
  <si>
    <t>3.8</t>
  </si>
  <si>
    <t>3.9</t>
  </si>
  <si>
    <t>m³*km</t>
  </si>
  <si>
    <t>CARGA, MANOBRAS E DESCARGA DE MISTURA BETUMINOSA A QUENTE, COM CAMINHAO BASCULANTE 6 M3, DESCARGA EM VIBRO-ACABADORA</t>
  </si>
  <si>
    <t>TRANSPORTE COMERCIAL COM CAMINHAO BASCULANTE 6 M3, RODOVIA PAVIMENTADA (DISTÂNCIA DE 16KM + 10%)</t>
  </si>
  <si>
    <t>3.4</t>
  </si>
  <si>
    <t>TRANSPORTE COMERCIAL DE BRITA (DISTÂNCIA DE 8,5KM + 10%)</t>
  </si>
  <si>
    <t>EXECUÇÃO DE IMPRIMAÇÃO LIGANTE COM EMULSÃO ASFÁLTICA RR-2C. AF_09/2017</t>
  </si>
  <si>
    <t>3.10</t>
  </si>
  <si>
    <t>3.11</t>
  </si>
  <si>
    <t>3.12</t>
  </si>
  <si>
    <t>TRANSPORTE COMERCIAL DE BRITA (DISTÂNCIA DE 17,0KM + 10%)</t>
  </si>
  <si>
    <t>DISPOSITIVOS DE DRENAGEM - PROJETOS PADRÃO</t>
  </si>
  <si>
    <t>ATERRO MANUAL DE VALAS COM AREIA PARA ATERRO E COMPACTAÇÃO MECANIZADA. AF_05/2016</t>
  </si>
  <si>
    <t>TOTAL - INCLUINDO ADMINISTRAÇÃO</t>
  </si>
  <si>
    <t>A</t>
  </si>
  <si>
    <t>A.1</t>
  </si>
  <si>
    <t>C</t>
  </si>
  <si>
    <t>C.1</t>
  </si>
  <si>
    <t>C.2</t>
  </si>
  <si>
    <t>C.3</t>
  </si>
  <si>
    <t>74209/001</t>
  </si>
  <si>
    <t>A.2</t>
  </si>
  <si>
    <t>A.3</t>
  </si>
  <si>
    <t>EXECUÇÃO DE DEPÓSITO EM CANTEIRO DE OBRA EM CHAPA DE MADEIRA COMPENSADA, NÃO INCLUSO MOBILIÁRIO. AF_04/2016</t>
  </si>
  <si>
    <t>A.4</t>
  </si>
  <si>
    <t>EXECUÇÃO DE SANITÁRIO E VESTIÁRIO EM CANTEIRO DE OBRA EM CHAPA DE MADEIRA COMPENSADA, NÃO INCLUSO MOBILIÁRIO. AF_02/2016</t>
  </si>
  <si>
    <t>00034492</t>
  </si>
  <si>
    <t>CONCRETO USINADO BOMBEAVEL, CLASSE DE RESISTENCIA C20, COM BRITA 0 E 1, SLUMP =100 +/- 20 MM</t>
  </si>
  <si>
    <t>00000371</t>
  </si>
  <si>
    <t>ARGAMASSA INDUSTRIALIZADA MULTIUSO, PARA REVESTIMENTO INTERNO E EXTERNO E ASSENTAMENTO DE BLOCOS DIVERSOS</t>
  </si>
  <si>
    <t>00001379</t>
  </si>
  <si>
    <t>00000366</t>
  </si>
  <si>
    <t xml:space="preserve"> ARMAÇÃO UTILIZANDO AÇO CA-50 DE 12,5 MM - MONTAGEM. AF_12/2015</t>
  </si>
  <si>
    <t>00020212</t>
  </si>
  <si>
    <t>CAIBRO DE MADEIRA APARELHADA *6 X 8* CM, MACARANDUBA, ANGELIM OU EQUIVALENTE DA REGIÃO</t>
  </si>
  <si>
    <t>PLANTIO DE GRAMA AMENDOIM - INCLUSIVE PREPARO DO SOLO (CONSIDERANDO PREÇO GRAMA BATATAIS)</t>
  </si>
  <si>
    <t>4.8.15</t>
  </si>
  <si>
    <t>EXECUÇÃO DE ESCRITÓRIO EM CANTEIRO DE OBRA EM CHAPA DE MADEIRA COMPENSADA, NÃO INCLUSO MOBILIÁRIO E EQUIPAMENTOS. AF_02/2016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</si>
</sst>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vertical="center" wrapText="1"/>
    </xf>
    <xf numFmtId="17" fontId="4" fillId="0" borderId="1" xfId="0" applyNumberFormat="1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4" xfId="1" applyNumberFormat="1" applyFont="1" applyFill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6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5" fontId="4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165" fontId="4" fillId="2" borderId="9" xfId="0" applyNumberFormat="1" applyFont="1" applyFill="1" applyBorder="1" applyAlignment="1">
      <alignment vertical="center" wrapText="1"/>
    </xf>
    <xf numFmtId="0" fontId="3" fillId="3" borderId="4" xfId="0" quotePrefix="1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 indent="2"/>
    </xf>
    <xf numFmtId="0" fontId="6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 indent="24"/>
    </xf>
    <xf numFmtId="0" fontId="4" fillId="2" borderId="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1</xdr:row>
      <xdr:rowOff>95250</xdr:rowOff>
    </xdr:from>
    <xdr:to>
      <xdr:col>7</xdr:col>
      <xdr:colOff>53735</xdr:colOff>
      <xdr:row>6</xdr:row>
      <xdr:rowOff>59700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1</xdr:row>
      <xdr:rowOff>122465</xdr:rowOff>
    </xdr:from>
    <xdr:to>
      <xdr:col>12</xdr:col>
      <xdr:colOff>220593</xdr:colOff>
      <xdr:row>5</xdr:row>
      <xdr:rowOff>61415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5"/>
  <sheetViews>
    <sheetView showGridLines="0" tabSelected="1" showWhiteSpace="0" view="pageBreakPreview" topLeftCell="H82" zoomScale="85" zoomScaleNormal="85" zoomScaleSheetLayoutView="85" zoomScalePageLayoutView="70" workbookViewId="0">
      <selection activeCell="M85" sqref="M85"/>
    </sheetView>
  </sheetViews>
  <sheetFormatPr defaultColWidth="0" defaultRowHeight="15.75" zeroHeight="1"/>
  <cols>
    <col min="1" max="1" width="7.140625" style="9" customWidth="1"/>
    <col min="2" max="2" width="15.85546875" style="9" customWidth="1"/>
    <col min="3" max="3" width="20.5703125" style="9" customWidth="1"/>
    <col min="4" max="6" width="15.42578125" style="9" customWidth="1"/>
    <col min="7" max="7" width="20.5703125" style="9" customWidth="1"/>
    <col min="8" max="8" width="18.7109375" style="9" customWidth="1"/>
    <col min="9" max="9" width="21.7109375" style="9" customWidth="1"/>
    <col min="10" max="10" width="15.42578125" style="9" customWidth="1"/>
    <col min="11" max="11" width="16.28515625" style="9" bestFit="1" customWidth="1"/>
    <col min="12" max="12" width="20.85546875" style="9" customWidth="1"/>
    <col min="13" max="13" width="25.85546875" style="9" customWidth="1"/>
    <col min="14" max="20" width="14.7109375" style="9" hidden="1" customWidth="1"/>
    <col min="21" max="16384" width="9.140625" style="9" hidden="1"/>
  </cols>
  <sheetData>
    <row r="1" spans="1:14" ht="29.25" customHeight="1" thickBot="1">
      <c r="A1" s="88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59" t="s">
        <v>13</v>
      </c>
      <c r="M1" s="60" t="s">
        <v>198</v>
      </c>
      <c r="N1" s="10"/>
    </row>
    <row r="2" spans="1:14" ht="16.5" thickTop="1">
      <c r="A2" s="73" t="s">
        <v>12</v>
      </c>
      <c r="B2" s="73"/>
      <c r="C2" s="73"/>
      <c r="E2" s="73" t="s">
        <v>11</v>
      </c>
      <c r="F2" s="73"/>
      <c r="G2" s="73"/>
      <c r="H2" s="11"/>
      <c r="I2" s="11"/>
      <c r="K2" s="73" t="s">
        <v>10</v>
      </c>
      <c r="L2" s="73"/>
      <c r="M2" s="73"/>
    </row>
    <row r="3" spans="1:14">
      <c r="A3" s="74" t="s">
        <v>63</v>
      </c>
      <c r="B3" s="74"/>
      <c r="C3" s="74"/>
      <c r="E3" s="75"/>
      <c r="F3" s="75"/>
      <c r="G3" s="75"/>
      <c r="H3" s="12"/>
      <c r="I3" s="12"/>
      <c r="K3" s="75"/>
      <c r="L3" s="75"/>
      <c r="M3" s="75"/>
    </row>
    <row r="4" spans="1:14">
      <c r="A4" s="74"/>
      <c r="B4" s="74"/>
      <c r="C4" s="74"/>
      <c r="E4" s="75"/>
      <c r="F4" s="75"/>
      <c r="G4" s="75"/>
      <c r="H4" s="12"/>
      <c r="I4" s="12"/>
      <c r="K4" s="75"/>
      <c r="L4" s="75"/>
      <c r="M4" s="75"/>
    </row>
    <row r="5" spans="1:14">
      <c r="A5" s="74"/>
      <c r="B5" s="74"/>
      <c r="C5" s="74"/>
      <c r="E5" s="75"/>
      <c r="F5" s="75"/>
      <c r="G5" s="75"/>
      <c r="H5" s="12"/>
      <c r="I5" s="12"/>
      <c r="K5" s="75"/>
      <c r="L5" s="75"/>
      <c r="M5" s="75"/>
    </row>
    <row r="6" spans="1:14">
      <c r="A6" s="12"/>
      <c r="B6" s="12"/>
      <c r="C6" s="12"/>
      <c r="E6" s="12"/>
      <c r="F6" s="12"/>
      <c r="G6" s="12"/>
      <c r="H6" s="12"/>
      <c r="I6" s="12"/>
      <c r="K6" s="12"/>
      <c r="L6" s="12"/>
      <c r="M6" s="12"/>
    </row>
    <row r="7" spans="1:14">
      <c r="A7" s="71" t="s">
        <v>29</v>
      </c>
      <c r="B7" s="71"/>
      <c r="C7" s="13">
        <v>43248</v>
      </c>
      <c r="D7" s="14"/>
      <c r="E7" s="12"/>
      <c r="K7" s="72" t="s">
        <v>34</v>
      </c>
      <c r="L7" s="71"/>
      <c r="M7" s="15">
        <v>43101</v>
      </c>
    </row>
    <row r="8" spans="1:14">
      <c r="A8" s="16"/>
      <c r="B8" s="16"/>
      <c r="C8" s="12"/>
      <c r="E8" s="12"/>
      <c r="F8" s="12"/>
      <c r="G8" s="12"/>
      <c r="H8" s="12"/>
      <c r="I8" s="12"/>
      <c r="K8" s="72" t="s">
        <v>35</v>
      </c>
      <c r="L8" s="71"/>
      <c r="M8" s="15">
        <v>42979</v>
      </c>
    </row>
    <row r="9" spans="1:14" ht="21">
      <c r="A9" s="76" t="s">
        <v>102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4" ht="2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4" s="18" customFormat="1" ht="24.95" customHeight="1">
      <c r="A11" s="77" t="s">
        <v>18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4" ht="5.0999999999999996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4" ht="24.95" customHeight="1">
      <c r="A13" s="20" t="s">
        <v>9</v>
      </c>
      <c r="B13" s="70" t="s">
        <v>8</v>
      </c>
      <c r="C13" s="70"/>
      <c r="D13" s="70"/>
      <c r="E13" s="70"/>
      <c r="F13" s="70"/>
      <c r="G13" s="70"/>
      <c r="H13" s="21" t="s">
        <v>9</v>
      </c>
      <c r="I13" s="21" t="s">
        <v>33</v>
      </c>
      <c r="J13" s="21" t="s">
        <v>0</v>
      </c>
      <c r="K13" s="21" t="s">
        <v>7</v>
      </c>
      <c r="L13" s="21" t="s">
        <v>6</v>
      </c>
      <c r="M13" s="21" t="s">
        <v>5</v>
      </c>
    </row>
    <row r="14" spans="1:14" ht="5.0999999999999996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4" ht="24.95" customHeight="1">
      <c r="A15" s="22" t="s">
        <v>214</v>
      </c>
      <c r="B15" s="69" t="s">
        <v>95</v>
      </c>
      <c r="C15" s="69"/>
      <c r="D15" s="69"/>
      <c r="E15" s="69"/>
      <c r="F15" s="69"/>
      <c r="G15" s="69"/>
      <c r="H15" s="23"/>
      <c r="I15" s="23"/>
      <c r="J15" s="23"/>
      <c r="K15" s="23"/>
      <c r="L15" s="23"/>
      <c r="M15" s="23"/>
    </row>
    <row r="16" spans="1:14" ht="30" customHeight="1">
      <c r="A16" s="24" t="s">
        <v>215</v>
      </c>
      <c r="B16" s="67" t="s">
        <v>38</v>
      </c>
      <c r="C16" s="67"/>
      <c r="D16" s="67"/>
      <c r="E16" s="67"/>
      <c r="F16" s="67"/>
      <c r="G16" s="67"/>
      <c r="H16" s="25" t="s">
        <v>220</v>
      </c>
      <c r="I16" s="25" t="s">
        <v>37</v>
      </c>
      <c r="J16" s="25" t="s">
        <v>23</v>
      </c>
      <c r="K16" s="26">
        <v>1.5</v>
      </c>
      <c r="L16" s="27">
        <v>297.37</v>
      </c>
      <c r="M16" s="27">
        <f t="shared" ref="M16" si="0">K16*L16</f>
        <v>446.05500000000001</v>
      </c>
    </row>
    <row r="17" spans="1:13" ht="30" customHeight="1">
      <c r="A17" s="24" t="s">
        <v>221</v>
      </c>
      <c r="B17" s="67" t="s">
        <v>237</v>
      </c>
      <c r="C17" s="67"/>
      <c r="D17" s="67"/>
      <c r="E17" s="67"/>
      <c r="F17" s="67"/>
      <c r="G17" s="67"/>
      <c r="H17" s="25">
        <v>93207</v>
      </c>
      <c r="I17" s="25" t="s">
        <v>37</v>
      </c>
      <c r="J17" s="25" t="s">
        <v>23</v>
      </c>
      <c r="K17" s="26">
        <v>10</v>
      </c>
      <c r="L17" s="27">
        <v>541.37</v>
      </c>
      <c r="M17" s="27">
        <f t="shared" ref="M17:M19" si="1">K17*L17</f>
        <v>5413.7</v>
      </c>
    </row>
    <row r="18" spans="1:13" ht="30" customHeight="1">
      <c r="A18" s="24" t="s">
        <v>222</v>
      </c>
      <c r="B18" s="67" t="s">
        <v>223</v>
      </c>
      <c r="C18" s="67"/>
      <c r="D18" s="67"/>
      <c r="E18" s="67"/>
      <c r="F18" s="67"/>
      <c r="G18" s="67"/>
      <c r="H18" s="25">
        <v>93584</v>
      </c>
      <c r="I18" s="25" t="s">
        <v>37</v>
      </c>
      <c r="J18" s="25" t="s">
        <v>23</v>
      </c>
      <c r="K18" s="26">
        <v>200</v>
      </c>
      <c r="L18" s="27">
        <v>357.83</v>
      </c>
      <c r="M18" s="27">
        <f t="shared" si="1"/>
        <v>71566</v>
      </c>
    </row>
    <row r="19" spans="1:13" ht="30" customHeight="1">
      <c r="A19" s="24" t="s">
        <v>224</v>
      </c>
      <c r="B19" s="67" t="s">
        <v>225</v>
      </c>
      <c r="C19" s="67"/>
      <c r="D19" s="67"/>
      <c r="E19" s="67"/>
      <c r="F19" s="67"/>
      <c r="G19" s="67"/>
      <c r="H19" s="25">
        <v>93212</v>
      </c>
      <c r="I19" s="25" t="s">
        <v>37</v>
      </c>
      <c r="J19" s="25" t="s">
        <v>23</v>
      </c>
      <c r="K19" s="26">
        <v>40</v>
      </c>
      <c r="L19" s="27">
        <v>490.41</v>
      </c>
      <c r="M19" s="27">
        <f t="shared" si="1"/>
        <v>19616.400000000001</v>
      </c>
    </row>
    <row r="20" spans="1:13" ht="24.95" customHeight="1">
      <c r="A20" s="70" t="s">
        <v>28</v>
      </c>
      <c r="B20" s="70"/>
      <c r="C20" s="70"/>
      <c r="D20" s="70"/>
      <c r="E20" s="70"/>
      <c r="F20" s="70"/>
      <c r="G20" s="70"/>
      <c r="H20" s="28"/>
      <c r="I20" s="28"/>
      <c r="J20" s="20"/>
      <c r="K20" s="20"/>
      <c r="L20" s="20"/>
      <c r="M20" s="29">
        <f>SUM(M16:M19)</f>
        <v>97042.154999999999</v>
      </c>
    </row>
    <row r="21" spans="1:13">
      <c r="A21" s="30"/>
      <c r="B21" s="30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2"/>
    </row>
    <row r="22" spans="1:13" s="18" customFormat="1" ht="24.95" customHeight="1">
      <c r="A22" s="77" t="s">
        <v>43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ht="5.0999999999999996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4.95" customHeight="1">
      <c r="A24" s="20" t="s">
        <v>9</v>
      </c>
      <c r="B24" s="70" t="s">
        <v>8</v>
      </c>
      <c r="C24" s="70"/>
      <c r="D24" s="70"/>
      <c r="E24" s="70"/>
      <c r="F24" s="70"/>
      <c r="G24" s="70"/>
      <c r="H24" s="21" t="s">
        <v>9</v>
      </c>
      <c r="I24" s="21" t="s">
        <v>33</v>
      </c>
      <c r="J24" s="21" t="s">
        <v>0</v>
      </c>
      <c r="K24" s="21" t="s">
        <v>7</v>
      </c>
      <c r="L24" s="21" t="s">
        <v>6</v>
      </c>
      <c r="M24" s="21" t="s">
        <v>5</v>
      </c>
    </row>
    <row r="25" spans="1:13" ht="5.0999999999999996" customHeight="1">
      <c r="A25" s="33"/>
      <c r="B25" s="30"/>
      <c r="C25" s="30"/>
      <c r="D25" s="30"/>
      <c r="E25" s="30"/>
      <c r="F25" s="30"/>
      <c r="G25" s="30"/>
      <c r="H25" s="30"/>
      <c r="I25" s="30"/>
      <c r="J25" s="34"/>
      <c r="K25" s="35"/>
      <c r="L25" s="36"/>
      <c r="M25" s="36"/>
    </row>
    <row r="26" spans="1:13" s="18" customFormat="1" ht="24.95" customHeight="1">
      <c r="A26" s="22">
        <v>1</v>
      </c>
      <c r="B26" s="69" t="s">
        <v>94</v>
      </c>
      <c r="C26" s="69"/>
      <c r="D26" s="69"/>
      <c r="E26" s="69"/>
      <c r="F26" s="69"/>
      <c r="G26" s="69"/>
      <c r="H26" s="23"/>
      <c r="I26" s="23"/>
      <c r="J26" s="23"/>
      <c r="K26" s="23"/>
      <c r="L26" s="37"/>
      <c r="M26" s="37"/>
    </row>
    <row r="27" spans="1:13" ht="30" customHeight="1">
      <c r="A27" s="33" t="s">
        <v>19</v>
      </c>
      <c r="B27" s="67" t="s">
        <v>36</v>
      </c>
      <c r="C27" s="67"/>
      <c r="D27" s="67"/>
      <c r="E27" s="67"/>
      <c r="F27" s="67"/>
      <c r="G27" s="67"/>
      <c r="H27" s="38">
        <v>73686</v>
      </c>
      <c r="I27" s="38" t="s">
        <v>37</v>
      </c>
      <c r="J27" s="38" t="s">
        <v>4</v>
      </c>
      <c r="K27" s="39">
        <f>Plan1!B8+Plan1!C8</f>
        <v>1237.52</v>
      </c>
      <c r="L27" s="40">
        <v>24.79</v>
      </c>
      <c r="M27" s="40">
        <f>K27*L27</f>
        <v>30678.120799999997</v>
      </c>
    </row>
    <row r="28" spans="1:13" ht="30" customHeight="1">
      <c r="A28" s="33" t="s">
        <v>20</v>
      </c>
      <c r="B28" s="67" t="s">
        <v>39</v>
      </c>
      <c r="C28" s="67"/>
      <c r="D28" s="67"/>
      <c r="E28" s="67"/>
      <c r="F28" s="67"/>
      <c r="G28" s="67"/>
      <c r="H28" s="41" t="s">
        <v>40</v>
      </c>
      <c r="I28" s="38" t="s">
        <v>41</v>
      </c>
      <c r="J28" s="38" t="s">
        <v>22</v>
      </c>
      <c r="K28" s="39">
        <v>146</v>
      </c>
      <c r="L28" s="40">
        <v>69.17</v>
      </c>
      <c r="M28" s="40">
        <f t="shared" ref="M28:M33" si="2">K28*L28</f>
        <v>10098.82</v>
      </c>
    </row>
    <row r="29" spans="1:13" ht="30" customHeight="1">
      <c r="A29" s="33" t="s">
        <v>21</v>
      </c>
      <c r="B29" s="67" t="s">
        <v>46</v>
      </c>
      <c r="C29" s="67"/>
      <c r="D29" s="67"/>
      <c r="E29" s="67"/>
      <c r="F29" s="67"/>
      <c r="G29" s="67"/>
      <c r="H29" s="38" t="s">
        <v>47</v>
      </c>
      <c r="I29" s="38" t="s">
        <v>37</v>
      </c>
      <c r="J29" s="38" t="s">
        <v>23</v>
      </c>
      <c r="K29" s="39">
        <f>Plan1!C8*6</f>
        <v>5520.6</v>
      </c>
      <c r="L29" s="40">
        <v>0.11</v>
      </c>
      <c r="M29" s="40">
        <f t="shared" si="2"/>
        <v>607.26600000000008</v>
      </c>
    </row>
    <row r="30" spans="1:13" ht="30" customHeight="1">
      <c r="A30" s="33" t="s">
        <v>32</v>
      </c>
      <c r="B30" s="67" t="s">
        <v>71</v>
      </c>
      <c r="C30" s="67"/>
      <c r="D30" s="67"/>
      <c r="E30" s="67"/>
      <c r="F30" s="67"/>
      <c r="G30" s="67"/>
      <c r="H30" s="38">
        <v>73672</v>
      </c>
      <c r="I30" s="38" t="s">
        <v>37</v>
      </c>
      <c r="J30" s="38" t="s">
        <v>23</v>
      </c>
      <c r="K30" s="39">
        <v>584.54</v>
      </c>
      <c r="L30" s="40">
        <v>0.31</v>
      </c>
      <c r="M30" s="40">
        <f t="shared" si="2"/>
        <v>181.20739999999998</v>
      </c>
    </row>
    <row r="31" spans="1:13" ht="30" customHeight="1">
      <c r="A31" s="33" t="s">
        <v>52</v>
      </c>
      <c r="B31" s="67" t="s">
        <v>51</v>
      </c>
      <c r="C31" s="67"/>
      <c r="D31" s="67"/>
      <c r="E31" s="67"/>
      <c r="F31" s="67"/>
      <c r="G31" s="67"/>
      <c r="H31" s="38">
        <v>92970</v>
      </c>
      <c r="I31" s="38" t="s">
        <v>37</v>
      </c>
      <c r="J31" s="38" t="s">
        <v>23</v>
      </c>
      <c r="K31" s="39">
        <v>3127.78</v>
      </c>
      <c r="L31" s="40">
        <v>10.8</v>
      </c>
      <c r="M31" s="40">
        <f t="shared" si="2"/>
        <v>33780.024000000005</v>
      </c>
    </row>
    <row r="32" spans="1:13" ht="30" customHeight="1">
      <c r="A32" s="33" t="s">
        <v>53</v>
      </c>
      <c r="B32" s="67" t="s">
        <v>96</v>
      </c>
      <c r="C32" s="67"/>
      <c r="D32" s="67"/>
      <c r="E32" s="67"/>
      <c r="F32" s="67"/>
      <c r="G32" s="67"/>
      <c r="H32" s="38">
        <v>83358</v>
      </c>
      <c r="I32" s="38" t="s">
        <v>37</v>
      </c>
      <c r="J32" s="38" t="s">
        <v>58</v>
      </c>
      <c r="K32" s="39">
        <f>K31*0.15*10</f>
        <v>4691.67</v>
      </c>
      <c r="L32" s="40">
        <v>1.5</v>
      </c>
      <c r="M32" s="40">
        <f t="shared" si="2"/>
        <v>7037.5050000000001</v>
      </c>
    </row>
    <row r="33" spans="1:24" ht="30" customHeight="1">
      <c r="A33" s="33" t="s">
        <v>80</v>
      </c>
      <c r="B33" s="67" t="s">
        <v>48</v>
      </c>
      <c r="C33" s="67"/>
      <c r="D33" s="67"/>
      <c r="E33" s="67"/>
      <c r="F33" s="67"/>
      <c r="G33" s="67"/>
      <c r="H33" s="38">
        <v>95880</v>
      </c>
      <c r="I33" s="38" t="s">
        <v>37</v>
      </c>
      <c r="J33" s="38" t="s">
        <v>49</v>
      </c>
      <c r="K33" s="39">
        <f>(K29/18)*0.15*1.7*30</f>
        <v>2346.2550000000001</v>
      </c>
      <c r="L33" s="40">
        <v>0.53</v>
      </c>
      <c r="M33" s="40">
        <f t="shared" si="2"/>
        <v>1243.5151500000002</v>
      </c>
    </row>
    <row r="34" spans="1:24" ht="24.95" customHeight="1">
      <c r="A34" s="71" t="s">
        <v>100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9"/>
      <c r="M34" s="82">
        <f>SUM(M27:XFD33)</f>
        <v>83626.458350000015</v>
      </c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9"/>
    </row>
    <row r="35" spans="1:24" s="18" customFormat="1" ht="24.95" customHeight="1">
      <c r="A35" s="22">
        <v>2</v>
      </c>
      <c r="B35" s="69" t="s">
        <v>93</v>
      </c>
      <c r="C35" s="69"/>
      <c r="D35" s="69"/>
      <c r="E35" s="69"/>
      <c r="F35" s="69"/>
      <c r="G35" s="69"/>
      <c r="H35" s="23"/>
      <c r="I35" s="23"/>
      <c r="J35" s="23"/>
      <c r="K35" s="42"/>
      <c r="L35" s="37"/>
      <c r="M35" s="37"/>
    </row>
    <row r="36" spans="1:24" ht="30" customHeight="1">
      <c r="A36" s="33" t="s">
        <v>3</v>
      </c>
      <c r="B36" s="67" t="s">
        <v>66</v>
      </c>
      <c r="C36" s="67"/>
      <c r="D36" s="67"/>
      <c r="E36" s="67"/>
      <c r="F36" s="67"/>
      <c r="G36" s="67"/>
      <c r="H36" s="38">
        <v>79473</v>
      </c>
      <c r="I36" s="38" t="s">
        <v>37</v>
      </c>
      <c r="J36" s="38" t="s">
        <v>24</v>
      </c>
      <c r="K36" s="39">
        <f>(375.33+3694.12)*1.25</f>
        <v>5086.8125</v>
      </c>
      <c r="L36" s="40">
        <v>4.74</v>
      </c>
      <c r="M36" s="40">
        <f t="shared" ref="M36:M39" si="3">K36*L36</f>
        <v>24111.491250000003</v>
      </c>
    </row>
    <row r="37" spans="1:24" ht="30" customHeight="1">
      <c r="A37" s="33" t="s">
        <v>2</v>
      </c>
      <c r="B37" s="67" t="s">
        <v>65</v>
      </c>
      <c r="C37" s="67"/>
      <c r="D37" s="67"/>
      <c r="E37" s="67"/>
      <c r="F37" s="67"/>
      <c r="G37" s="67"/>
      <c r="H37" s="38" t="s">
        <v>50</v>
      </c>
      <c r="I37" s="38" t="s">
        <v>37</v>
      </c>
      <c r="J37" s="38" t="s">
        <v>24</v>
      </c>
      <c r="K37" s="39">
        <f>375.33*1.25</f>
        <v>469.16249999999997</v>
      </c>
      <c r="L37" s="40">
        <v>4.57</v>
      </c>
      <c r="M37" s="40">
        <f t="shared" si="3"/>
        <v>2144.0726249999998</v>
      </c>
    </row>
    <row r="38" spans="1:24" ht="30" customHeight="1">
      <c r="A38" s="33" t="s">
        <v>1</v>
      </c>
      <c r="B38" s="67" t="s">
        <v>64</v>
      </c>
      <c r="C38" s="67"/>
      <c r="D38" s="67"/>
      <c r="E38" s="67"/>
      <c r="F38" s="67"/>
      <c r="G38" s="67"/>
      <c r="H38" s="38">
        <v>83344</v>
      </c>
      <c r="I38" s="38" t="s">
        <v>37</v>
      </c>
      <c r="J38" s="38" t="s">
        <v>24</v>
      </c>
      <c r="K38" s="39">
        <f>(3694.12-375.33)*1.25</f>
        <v>4148.4875000000002</v>
      </c>
      <c r="L38" s="40">
        <v>0.76</v>
      </c>
      <c r="M38" s="40">
        <f t="shared" si="3"/>
        <v>3152.8505</v>
      </c>
    </row>
    <row r="39" spans="1:24" ht="30" customHeight="1">
      <c r="A39" s="33" t="s">
        <v>14</v>
      </c>
      <c r="B39" s="67" t="s">
        <v>48</v>
      </c>
      <c r="C39" s="67"/>
      <c r="D39" s="67"/>
      <c r="E39" s="67"/>
      <c r="F39" s="67"/>
      <c r="G39" s="67"/>
      <c r="H39" s="38">
        <v>95880</v>
      </c>
      <c r="I39" s="38" t="s">
        <v>37</v>
      </c>
      <c r="J39" s="38" t="s">
        <v>49</v>
      </c>
      <c r="K39" s="39">
        <f>(K38/18)*1.7*30</f>
        <v>11754.047916666668</v>
      </c>
      <c r="L39" s="40">
        <v>0.53</v>
      </c>
      <c r="M39" s="40">
        <f t="shared" si="3"/>
        <v>6229.6453958333341</v>
      </c>
    </row>
    <row r="40" spans="1:24" ht="24.95" customHeight="1">
      <c r="A40" s="71" t="s">
        <v>100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9"/>
      <c r="M40" s="82">
        <f>SUM(M36:M39)</f>
        <v>35638.059770833337</v>
      </c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9"/>
    </row>
    <row r="41" spans="1:24" s="18" customFormat="1" ht="24.95" customHeight="1">
      <c r="A41" s="22">
        <v>3</v>
      </c>
      <c r="B41" s="69" t="s">
        <v>92</v>
      </c>
      <c r="C41" s="69"/>
      <c r="D41" s="69"/>
      <c r="E41" s="69"/>
      <c r="F41" s="69"/>
      <c r="G41" s="86"/>
      <c r="H41" s="23"/>
      <c r="I41" s="23"/>
      <c r="J41" s="23"/>
      <c r="K41" s="42"/>
      <c r="L41" s="37"/>
      <c r="M41" s="37"/>
    </row>
    <row r="42" spans="1:24" ht="30" customHeight="1">
      <c r="A42" s="33" t="s">
        <v>15</v>
      </c>
      <c r="B42" s="67" t="s">
        <v>54</v>
      </c>
      <c r="C42" s="67"/>
      <c r="D42" s="67"/>
      <c r="E42" s="67"/>
      <c r="F42" s="67"/>
      <c r="G42" s="67"/>
      <c r="H42" s="38">
        <v>72961</v>
      </c>
      <c r="I42" s="38" t="s">
        <v>37</v>
      </c>
      <c r="J42" s="38" t="s">
        <v>23</v>
      </c>
      <c r="K42" s="39">
        <f>(4770.61+6633.87)</f>
        <v>11404.48</v>
      </c>
      <c r="L42" s="40">
        <v>1.1100000000000001</v>
      </c>
      <c r="M42" s="40">
        <f>K42*L42</f>
        <v>12658.972800000001</v>
      </c>
    </row>
    <row r="43" spans="1:24" ht="30" customHeight="1">
      <c r="A43" s="33" t="s">
        <v>30</v>
      </c>
      <c r="B43" s="66" t="s">
        <v>205</v>
      </c>
      <c r="C43" s="66"/>
      <c r="D43" s="66"/>
      <c r="E43" s="66"/>
      <c r="F43" s="66"/>
      <c r="G43" s="68"/>
      <c r="H43" s="38">
        <v>83356</v>
      </c>
      <c r="I43" s="38" t="s">
        <v>37</v>
      </c>
      <c r="J43" s="38" t="s">
        <v>201</v>
      </c>
      <c r="K43" s="39">
        <f>K44/2*8.5*1.1</f>
        <v>9548.0587125000002</v>
      </c>
      <c r="L43" s="43">
        <v>0.72</v>
      </c>
      <c r="M43" s="40">
        <f t="shared" ref="M43:M51" si="4">K43*L43</f>
        <v>6874.6022729999995</v>
      </c>
    </row>
    <row r="44" spans="1:24" ht="30" customHeight="1">
      <c r="A44" s="33" t="s">
        <v>31</v>
      </c>
      <c r="B44" s="66" t="s">
        <v>55</v>
      </c>
      <c r="C44" s="66"/>
      <c r="D44" s="66"/>
      <c r="E44" s="66"/>
      <c r="F44" s="66"/>
      <c r="G44" s="68"/>
      <c r="H44" s="38">
        <v>72924</v>
      </c>
      <c r="I44" s="38" t="s">
        <v>37</v>
      </c>
      <c r="J44" s="38" t="s">
        <v>24</v>
      </c>
      <c r="K44" s="58">
        <f>4770.61*0.15+6633.87*0.2</f>
        <v>2042.3654999999999</v>
      </c>
      <c r="L44" s="40">
        <v>50.8</v>
      </c>
      <c r="M44" s="40">
        <f t="shared" si="4"/>
        <v>103752.16739999999</v>
      </c>
    </row>
    <row r="45" spans="1:24" ht="30" customHeight="1">
      <c r="A45" s="33" t="s">
        <v>204</v>
      </c>
      <c r="B45" s="66" t="s">
        <v>210</v>
      </c>
      <c r="C45" s="66"/>
      <c r="D45" s="66"/>
      <c r="E45" s="66"/>
      <c r="F45" s="66"/>
      <c r="G45" s="68"/>
      <c r="H45" s="38">
        <v>83356</v>
      </c>
      <c r="I45" s="38" t="s">
        <v>37</v>
      </c>
      <c r="J45" s="38" t="s">
        <v>24</v>
      </c>
      <c r="K45" s="58">
        <f>K46*17*1.1</f>
        <v>13381.56105</v>
      </c>
      <c r="L45" s="43">
        <v>0.72</v>
      </c>
      <c r="M45" s="40">
        <f t="shared" si="4"/>
        <v>9634.7239559999998</v>
      </c>
    </row>
    <row r="46" spans="1:24" ht="30" customHeight="1">
      <c r="A46" s="33" t="s">
        <v>59</v>
      </c>
      <c r="B46" s="66" t="s">
        <v>56</v>
      </c>
      <c r="C46" s="66"/>
      <c r="D46" s="66"/>
      <c r="E46" s="66"/>
      <c r="F46" s="66"/>
      <c r="G46" s="68"/>
      <c r="H46" s="38">
        <v>96396</v>
      </c>
      <c r="I46" s="38" t="s">
        <v>37</v>
      </c>
      <c r="J46" s="38" t="s">
        <v>24</v>
      </c>
      <c r="K46" s="58">
        <f>4770.61*0.15</f>
        <v>715.59149999999988</v>
      </c>
      <c r="L46" s="40">
        <v>101.38</v>
      </c>
      <c r="M46" s="40">
        <f t="shared" si="4"/>
        <v>72546.666269999987</v>
      </c>
    </row>
    <row r="47" spans="1:24" ht="30" customHeight="1">
      <c r="A47" s="33" t="s">
        <v>60</v>
      </c>
      <c r="B47" s="67" t="s">
        <v>196</v>
      </c>
      <c r="C47" s="67"/>
      <c r="D47" s="67"/>
      <c r="E47" s="67"/>
      <c r="F47" s="67"/>
      <c r="G47" s="67"/>
      <c r="H47" s="38">
        <v>96401</v>
      </c>
      <c r="I47" s="38" t="s">
        <v>37</v>
      </c>
      <c r="J47" s="41" t="s">
        <v>23</v>
      </c>
      <c r="K47" s="58">
        <f>K42</f>
        <v>11404.48</v>
      </c>
      <c r="L47" s="43">
        <v>4.3099999999999996</v>
      </c>
      <c r="M47" s="40">
        <f t="shared" si="4"/>
        <v>49153.308799999992</v>
      </c>
    </row>
    <row r="48" spans="1:24" ht="24.95" customHeight="1">
      <c r="A48" s="20" t="s">
        <v>9</v>
      </c>
      <c r="B48" s="70" t="s">
        <v>8</v>
      </c>
      <c r="C48" s="70"/>
      <c r="D48" s="70"/>
      <c r="E48" s="70"/>
      <c r="F48" s="70"/>
      <c r="G48" s="70"/>
      <c r="H48" s="21" t="s">
        <v>9</v>
      </c>
      <c r="I48" s="21" t="s">
        <v>33</v>
      </c>
      <c r="J48" s="21" t="s">
        <v>0</v>
      </c>
      <c r="K48" s="21" t="s">
        <v>7</v>
      </c>
      <c r="L48" s="21" t="s">
        <v>6</v>
      </c>
      <c r="M48" s="21" t="s">
        <v>5</v>
      </c>
    </row>
    <row r="49" spans="1:24" ht="5.0999999999999996" customHeight="1">
      <c r="A49" s="33"/>
      <c r="B49" s="30"/>
      <c r="C49" s="30"/>
      <c r="D49" s="30"/>
      <c r="E49" s="30"/>
      <c r="F49" s="30"/>
      <c r="G49" s="30"/>
      <c r="H49" s="30"/>
      <c r="I49" s="30"/>
      <c r="J49" s="34"/>
      <c r="K49" s="35"/>
      <c r="L49" s="36"/>
      <c r="M49" s="36"/>
    </row>
    <row r="50" spans="1:24" ht="30" customHeight="1">
      <c r="A50" s="33" t="s">
        <v>61</v>
      </c>
      <c r="B50" s="67" t="s">
        <v>206</v>
      </c>
      <c r="C50" s="67"/>
      <c r="D50" s="67"/>
      <c r="E50" s="67"/>
      <c r="F50" s="67"/>
      <c r="G50" s="67"/>
      <c r="H50" s="38">
        <v>96402</v>
      </c>
      <c r="I50" s="38" t="s">
        <v>37</v>
      </c>
      <c r="J50" s="41" t="s">
        <v>23</v>
      </c>
      <c r="K50" s="39">
        <f>K42</f>
        <v>11404.48</v>
      </c>
      <c r="L50" s="43">
        <v>2.65</v>
      </c>
      <c r="M50" s="40">
        <f t="shared" si="4"/>
        <v>30221.871999999999</v>
      </c>
    </row>
    <row r="51" spans="1:24" ht="30" customHeight="1">
      <c r="A51" s="33" t="s">
        <v>199</v>
      </c>
      <c r="B51" s="66" t="s">
        <v>203</v>
      </c>
      <c r="C51" s="66"/>
      <c r="D51" s="66"/>
      <c r="E51" s="66"/>
      <c r="F51" s="66"/>
      <c r="G51" s="66"/>
      <c r="H51" s="38">
        <v>72887</v>
      </c>
      <c r="I51" s="38" t="s">
        <v>37</v>
      </c>
      <c r="J51" s="38" t="s">
        <v>201</v>
      </c>
      <c r="K51" s="39">
        <f>K52*16*1.1</f>
        <v>10035.942400000002</v>
      </c>
      <c r="L51" s="43">
        <v>1.02</v>
      </c>
      <c r="M51" s="40">
        <f t="shared" si="4"/>
        <v>10236.661248000002</v>
      </c>
    </row>
    <row r="52" spans="1:24" ht="30" customHeight="1">
      <c r="A52" s="33" t="s">
        <v>200</v>
      </c>
      <c r="B52" s="66" t="s">
        <v>197</v>
      </c>
      <c r="C52" s="66"/>
      <c r="D52" s="66"/>
      <c r="E52" s="66"/>
      <c r="F52" s="66"/>
      <c r="G52" s="66"/>
      <c r="H52" s="38">
        <v>95995</v>
      </c>
      <c r="I52" s="38" t="s">
        <v>37</v>
      </c>
      <c r="J52" s="38" t="s">
        <v>24</v>
      </c>
      <c r="K52" s="39">
        <f>K42*0.05</f>
        <v>570.22400000000005</v>
      </c>
      <c r="L52" s="43">
        <v>712.94</v>
      </c>
      <c r="M52" s="40">
        <f t="shared" ref="M52:M55" si="5">K52*L52</f>
        <v>406535.49856000004</v>
      </c>
    </row>
    <row r="53" spans="1:24" ht="30" customHeight="1">
      <c r="A53" s="33" t="s">
        <v>207</v>
      </c>
      <c r="B53" s="67" t="s">
        <v>212</v>
      </c>
      <c r="C53" s="67"/>
      <c r="D53" s="67"/>
      <c r="E53" s="67"/>
      <c r="F53" s="67"/>
      <c r="G53" s="67"/>
      <c r="H53" s="38">
        <v>94342</v>
      </c>
      <c r="I53" s="38" t="s">
        <v>37</v>
      </c>
      <c r="J53" s="38" t="s">
        <v>24</v>
      </c>
      <c r="K53" s="39">
        <f>K54*0.05</f>
        <v>229.36500000000001</v>
      </c>
      <c r="L53" s="43">
        <v>80.599999999999994</v>
      </c>
      <c r="M53" s="40">
        <f>K53*L53</f>
        <v>18486.819</v>
      </c>
    </row>
    <row r="54" spans="1:24" ht="30" customHeight="1">
      <c r="A54" s="33" t="s">
        <v>208</v>
      </c>
      <c r="B54" s="66" t="s">
        <v>99</v>
      </c>
      <c r="C54" s="66"/>
      <c r="D54" s="66"/>
      <c r="E54" s="66"/>
      <c r="F54" s="66"/>
      <c r="G54" s="66"/>
      <c r="H54" s="38">
        <v>92393</v>
      </c>
      <c r="I54" s="38" t="s">
        <v>57</v>
      </c>
      <c r="J54" s="41" t="s">
        <v>23</v>
      </c>
      <c r="K54" s="39">
        <v>4587.3</v>
      </c>
      <c r="L54" s="43">
        <v>42.76</v>
      </c>
      <c r="M54" s="40">
        <f t="shared" si="5"/>
        <v>196152.948</v>
      </c>
    </row>
    <row r="55" spans="1:24" ht="30" customHeight="1">
      <c r="A55" s="33" t="s">
        <v>209</v>
      </c>
      <c r="B55" s="66" t="s">
        <v>202</v>
      </c>
      <c r="C55" s="66"/>
      <c r="D55" s="66"/>
      <c r="E55" s="66"/>
      <c r="F55" s="66"/>
      <c r="G55" s="66"/>
      <c r="H55" s="38">
        <v>72891</v>
      </c>
      <c r="I55" s="38" t="s">
        <v>37</v>
      </c>
      <c r="J55" s="38" t="s">
        <v>24</v>
      </c>
      <c r="K55" s="39">
        <f>K52</f>
        <v>570.22400000000005</v>
      </c>
      <c r="L55" s="43">
        <v>5.3</v>
      </c>
      <c r="M55" s="40">
        <f t="shared" si="5"/>
        <v>3022.1872000000003</v>
      </c>
    </row>
    <row r="56" spans="1:24" ht="24.95" customHeight="1">
      <c r="A56" s="71" t="s">
        <v>100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9"/>
      <c r="M56" s="82">
        <f>SUM(M42:M55)</f>
        <v>919276.42750700004</v>
      </c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9"/>
    </row>
    <row r="57" spans="1:24" s="18" customFormat="1" ht="24.95" customHeight="1">
      <c r="A57" s="22">
        <v>4</v>
      </c>
      <c r="B57" s="69" t="s">
        <v>91</v>
      </c>
      <c r="C57" s="69"/>
      <c r="D57" s="69"/>
      <c r="E57" s="69"/>
      <c r="F57" s="69"/>
      <c r="G57" s="69"/>
      <c r="H57" s="23"/>
      <c r="I57" s="23"/>
      <c r="J57" s="23"/>
      <c r="K57" s="42"/>
      <c r="L57" s="37"/>
      <c r="M57" s="37"/>
    </row>
    <row r="58" spans="1:24" s="18" customFormat="1" ht="30" customHeight="1">
      <c r="A58" s="33" t="s">
        <v>16</v>
      </c>
      <c r="B58" s="87" t="s">
        <v>42</v>
      </c>
      <c r="C58" s="87"/>
      <c r="D58" s="87"/>
      <c r="E58" s="87"/>
      <c r="F58" s="87"/>
      <c r="G58" s="87"/>
      <c r="H58" s="38">
        <v>94268</v>
      </c>
      <c r="I58" s="38" t="s">
        <v>37</v>
      </c>
      <c r="J58" s="38" t="s">
        <v>4</v>
      </c>
      <c r="K58" s="39">
        <f>312.8+264.7+(900*2)+13.04+36.2</f>
        <v>2426.7399999999998</v>
      </c>
      <c r="L58" s="40">
        <v>30.89</v>
      </c>
      <c r="M58" s="40">
        <f t="shared" ref="M58:M78" si="6">K58*L58</f>
        <v>74961.998599999992</v>
      </c>
    </row>
    <row r="59" spans="1:24" s="18" customFormat="1" ht="50.1" customHeight="1">
      <c r="A59" s="33" t="s">
        <v>169</v>
      </c>
      <c r="B59" s="87" t="s">
        <v>171</v>
      </c>
      <c r="C59" s="87"/>
      <c r="D59" s="87"/>
      <c r="E59" s="87"/>
      <c r="F59" s="87"/>
      <c r="G59" s="87"/>
      <c r="H59" s="38">
        <v>92212</v>
      </c>
      <c r="I59" s="38" t="s">
        <v>37</v>
      </c>
      <c r="J59" s="38" t="s">
        <v>4</v>
      </c>
      <c r="K59" s="39">
        <v>53.3</v>
      </c>
      <c r="L59" s="40">
        <v>136.43</v>
      </c>
      <c r="M59" s="40">
        <f t="shared" si="6"/>
        <v>7271.7190000000001</v>
      </c>
    </row>
    <row r="60" spans="1:24" s="18" customFormat="1" ht="50.1" customHeight="1">
      <c r="A60" s="33" t="s">
        <v>170</v>
      </c>
      <c r="B60" s="87" t="s">
        <v>173</v>
      </c>
      <c r="C60" s="87"/>
      <c r="D60" s="87"/>
      <c r="E60" s="87"/>
      <c r="F60" s="87"/>
      <c r="G60" s="87"/>
      <c r="H60" s="38">
        <v>92214</v>
      </c>
      <c r="I60" s="38" t="s">
        <v>37</v>
      </c>
      <c r="J60" s="38" t="s">
        <v>4</v>
      </c>
      <c r="K60" s="39">
        <v>25</v>
      </c>
      <c r="L60" s="40">
        <v>205.45</v>
      </c>
      <c r="M60" s="40">
        <f t="shared" si="6"/>
        <v>5136.25</v>
      </c>
    </row>
    <row r="61" spans="1:24" s="18" customFormat="1" ht="50.1" customHeight="1">
      <c r="A61" s="33" t="s">
        <v>17</v>
      </c>
      <c r="B61" s="87" t="s">
        <v>172</v>
      </c>
      <c r="C61" s="87"/>
      <c r="D61" s="87"/>
      <c r="E61" s="87"/>
      <c r="F61" s="87"/>
      <c r="G61" s="87"/>
      <c r="H61" s="38">
        <v>92216</v>
      </c>
      <c r="I61" s="38" t="s">
        <v>37</v>
      </c>
      <c r="J61" s="38" t="s">
        <v>4</v>
      </c>
      <c r="K61" s="39">
        <f>23.4+14.75</f>
        <v>38.15</v>
      </c>
      <c r="L61" s="40">
        <v>277.44</v>
      </c>
      <c r="M61" s="40">
        <f t="shared" si="6"/>
        <v>10584.335999999999</v>
      </c>
    </row>
    <row r="62" spans="1:24" s="18" customFormat="1" ht="50.1" customHeight="1">
      <c r="A62" s="33" t="s">
        <v>25</v>
      </c>
      <c r="B62" s="87" t="s">
        <v>174</v>
      </c>
      <c r="C62" s="87"/>
      <c r="D62" s="87"/>
      <c r="E62" s="87"/>
      <c r="F62" s="87"/>
      <c r="G62" s="87"/>
      <c r="H62" s="38">
        <v>92811</v>
      </c>
      <c r="I62" s="38" t="s">
        <v>37</v>
      </c>
      <c r="J62" s="38" t="s">
        <v>4</v>
      </c>
      <c r="K62" s="39">
        <f>K59</f>
        <v>53.3</v>
      </c>
      <c r="L62" s="40">
        <v>45.79</v>
      </c>
      <c r="M62" s="40">
        <f t="shared" si="6"/>
        <v>2440.607</v>
      </c>
    </row>
    <row r="63" spans="1:24" s="18" customFormat="1" ht="50.1" customHeight="1">
      <c r="A63" s="33" t="s">
        <v>26</v>
      </c>
      <c r="B63" s="87" t="s">
        <v>175</v>
      </c>
      <c r="C63" s="87"/>
      <c r="D63" s="87"/>
      <c r="E63" s="87"/>
      <c r="F63" s="87"/>
      <c r="G63" s="87"/>
      <c r="H63" s="38">
        <v>92813</v>
      </c>
      <c r="I63" s="38" t="s">
        <v>37</v>
      </c>
      <c r="J63" s="38" t="s">
        <v>4</v>
      </c>
      <c r="K63" s="39">
        <f>K60</f>
        <v>25</v>
      </c>
      <c r="L63" s="40">
        <v>61.18</v>
      </c>
      <c r="M63" s="40">
        <f t="shared" si="6"/>
        <v>1529.5</v>
      </c>
    </row>
    <row r="64" spans="1:24" s="18" customFormat="1" ht="50.1" customHeight="1">
      <c r="A64" s="33" t="s">
        <v>177</v>
      </c>
      <c r="B64" s="87" t="s">
        <v>176</v>
      </c>
      <c r="C64" s="87"/>
      <c r="D64" s="87"/>
      <c r="E64" s="87"/>
      <c r="F64" s="87"/>
      <c r="G64" s="87"/>
      <c r="H64" s="38">
        <v>92815</v>
      </c>
      <c r="I64" s="38" t="s">
        <v>37</v>
      </c>
      <c r="J64" s="38" t="s">
        <v>4</v>
      </c>
      <c r="K64" s="39">
        <f>K61</f>
        <v>38.15</v>
      </c>
      <c r="L64" s="40">
        <v>79.42</v>
      </c>
      <c r="M64" s="40">
        <f t="shared" si="6"/>
        <v>3029.873</v>
      </c>
    </row>
    <row r="65" spans="1:13" s="18" customFormat="1" ht="24.95" customHeight="1">
      <c r="A65" s="33" t="s">
        <v>178</v>
      </c>
      <c r="B65" s="70" t="s">
        <v>211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81"/>
    </row>
    <row r="66" spans="1:13" s="18" customFormat="1" ht="24.95" customHeight="1">
      <c r="A66" s="33" t="s">
        <v>179</v>
      </c>
      <c r="B66" s="67" t="s">
        <v>104</v>
      </c>
      <c r="C66" s="67"/>
      <c r="D66" s="67"/>
      <c r="E66" s="67"/>
      <c r="F66" s="67"/>
      <c r="G66" s="67"/>
      <c r="H66" s="38">
        <v>83338</v>
      </c>
      <c r="I66" s="38" t="s">
        <v>37</v>
      </c>
      <c r="J66" s="38" t="s">
        <v>24</v>
      </c>
      <c r="K66" s="39">
        <f>((388.75+285.67+152.49)*0.28)+Plan1!K19+Plan1!M29+Plan1!H33</f>
        <v>997.79630000000009</v>
      </c>
      <c r="L66" s="43">
        <v>2.02</v>
      </c>
      <c r="M66" s="40">
        <f t="shared" si="6"/>
        <v>2015.5485260000003</v>
      </c>
    </row>
    <row r="67" spans="1:13" s="18" customFormat="1" ht="24.95" customHeight="1">
      <c r="A67" s="33" t="s">
        <v>180</v>
      </c>
      <c r="B67" s="67" t="s">
        <v>105</v>
      </c>
      <c r="C67" s="67"/>
      <c r="D67" s="67"/>
      <c r="E67" s="67"/>
      <c r="F67" s="67"/>
      <c r="G67" s="67"/>
      <c r="H67" s="38">
        <v>94097</v>
      </c>
      <c r="I67" s="38" t="s">
        <v>37</v>
      </c>
      <c r="J67" s="38" t="s">
        <v>24</v>
      </c>
      <c r="K67" s="39">
        <f>((388.75+285.67+152.49)*0.2)+Plan1!R19</f>
        <v>187.38200000000003</v>
      </c>
      <c r="L67" s="43">
        <v>3.84</v>
      </c>
      <c r="M67" s="40">
        <f t="shared" si="6"/>
        <v>719.5468800000001</v>
      </c>
    </row>
    <row r="68" spans="1:13" s="18" customFormat="1" ht="30" customHeight="1">
      <c r="A68" s="33" t="s">
        <v>181</v>
      </c>
      <c r="B68" s="66" t="s">
        <v>234</v>
      </c>
      <c r="C68" s="66"/>
      <c r="D68" s="66"/>
      <c r="E68" s="66"/>
      <c r="F68" s="66"/>
      <c r="G68" s="66"/>
      <c r="H68" s="65" t="s">
        <v>233</v>
      </c>
      <c r="I68" s="38" t="s">
        <v>37</v>
      </c>
      <c r="J68" s="41" t="s">
        <v>4</v>
      </c>
      <c r="K68" s="39">
        <f>((388.75+285.67+152.49)*0.78)+Plan1!P19</f>
        <v>647.35980000000006</v>
      </c>
      <c r="L68" s="43">
        <v>9.23</v>
      </c>
      <c r="M68" s="40">
        <f t="shared" si="6"/>
        <v>5975.1309540000011</v>
      </c>
    </row>
    <row r="69" spans="1:13" s="18" customFormat="1" ht="30" customHeight="1">
      <c r="A69" s="33" t="s">
        <v>182</v>
      </c>
      <c r="B69" s="66" t="s">
        <v>227</v>
      </c>
      <c r="C69" s="66"/>
      <c r="D69" s="66"/>
      <c r="E69" s="66"/>
      <c r="F69" s="66"/>
      <c r="G69" s="66"/>
      <c r="H69" s="64" t="s">
        <v>226</v>
      </c>
      <c r="I69" s="38" t="s">
        <v>37</v>
      </c>
      <c r="J69" s="38" t="s">
        <v>24</v>
      </c>
      <c r="K69" s="39">
        <f>((388.75+285.67+152.49)*0.116)+Plan1!H19</f>
        <v>138.99456000000004</v>
      </c>
      <c r="L69" s="43">
        <v>232.1</v>
      </c>
      <c r="M69" s="40">
        <f t="shared" si="6"/>
        <v>32260.637376000006</v>
      </c>
    </row>
    <row r="70" spans="1:13" s="18" customFormat="1" ht="30" customHeight="1">
      <c r="A70" s="33" t="s">
        <v>183</v>
      </c>
      <c r="B70" s="67" t="s">
        <v>229</v>
      </c>
      <c r="C70" s="67"/>
      <c r="D70" s="67"/>
      <c r="E70" s="67"/>
      <c r="F70" s="67"/>
      <c r="G70" s="67"/>
      <c r="H70" s="65" t="s">
        <v>228</v>
      </c>
      <c r="I70" s="38" t="s">
        <v>37</v>
      </c>
      <c r="J70" s="41" t="s">
        <v>106</v>
      </c>
      <c r="K70" s="39">
        <f>(388.75+285.67+152.49)*0.2</f>
        <v>165.38200000000003</v>
      </c>
      <c r="L70" s="43">
        <v>0.4</v>
      </c>
      <c r="M70" s="40">
        <f t="shared" si="6"/>
        <v>66.152800000000013</v>
      </c>
    </row>
    <row r="71" spans="1:13" s="18" customFormat="1" ht="24.95" customHeight="1">
      <c r="A71" s="33" t="s">
        <v>184</v>
      </c>
      <c r="B71" s="67" t="s">
        <v>145</v>
      </c>
      <c r="C71" s="67"/>
      <c r="D71" s="67"/>
      <c r="E71" s="67"/>
      <c r="F71" s="67"/>
      <c r="G71" s="67"/>
      <c r="H71" s="38">
        <v>92415</v>
      </c>
      <c r="I71" s="38" t="s">
        <v>37</v>
      </c>
      <c r="J71" s="41" t="s">
        <v>23</v>
      </c>
      <c r="K71" s="39">
        <f>Plan1!I19</f>
        <v>273.11600000000004</v>
      </c>
      <c r="L71" s="43">
        <v>68.67</v>
      </c>
      <c r="M71" s="40">
        <f t="shared" si="6"/>
        <v>18754.875720000004</v>
      </c>
    </row>
    <row r="72" spans="1:13" s="18" customFormat="1" ht="24.95" customHeight="1">
      <c r="A72" s="33" t="s">
        <v>185</v>
      </c>
      <c r="B72" s="67" t="s">
        <v>158</v>
      </c>
      <c r="C72" s="67"/>
      <c r="D72" s="67"/>
      <c r="E72" s="67"/>
      <c r="F72" s="67"/>
      <c r="G72" s="67"/>
      <c r="H72" s="38" t="s">
        <v>159</v>
      </c>
      <c r="I72" s="38" t="s">
        <v>37</v>
      </c>
      <c r="J72" s="41" t="s">
        <v>24</v>
      </c>
      <c r="K72" s="39">
        <f>Plan1!H34</f>
        <v>159.83136000000002</v>
      </c>
      <c r="L72" s="43">
        <v>102.86</v>
      </c>
      <c r="M72" s="40">
        <f t="shared" si="6"/>
        <v>16440.253689600002</v>
      </c>
    </row>
    <row r="73" spans="1:13" s="18" customFormat="1" ht="24.95" customHeight="1">
      <c r="A73" s="33" t="s">
        <v>186</v>
      </c>
      <c r="B73" s="67" t="s">
        <v>149</v>
      </c>
      <c r="C73" s="67"/>
      <c r="D73" s="67"/>
      <c r="E73" s="67"/>
      <c r="F73" s="67"/>
      <c r="G73" s="67"/>
      <c r="H73" s="38">
        <v>95467</v>
      </c>
      <c r="I73" s="38" t="s">
        <v>37</v>
      </c>
      <c r="J73" s="41" t="s">
        <v>24</v>
      </c>
      <c r="K73" s="39">
        <f>Plan1!J19+Plan1!N29</f>
        <v>306.16719920000008</v>
      </c>
      <c r="L73" s="43">
        <v>314.85000000000002</v>
      </c>
      <c r="M73" s="40">
        <f t="shared" si="6"/>
        <v>96396.74266812003</v>
      </c>
    </row>
    <row r="74" spans="1:13" s="18" customFormat="1" ht="24.95" customHeight="1">
      <c r="A74" s="33" t="s">
        <v>187</v>
      </c>
      <c r="B74" s="67" t="s">
        <v>165</v>
      </c>
      <c r="C74" s="67"/>
      <c r="D74" s="67"/>
      <c r="E74" s="67"/>
      <c r="F74" s="67"/>
      <c r="G74" s="67"/>
      <c r="H74" s="38" t="s">
        <v>166</v>
      </c>
      <c r="I74" s="38" t="s">
        <v>37</v>
      </c>
      <c r="J74" s="41" t="s">
        <v>22</v>
      </c>
      <c r="K74" s="39">
        <v>1</v>
      </c>
      <c r="L74" s="43">
        <f>M105</f>
        <v>25873.989999999998</v>
      </c>
      <c r="M74" s="40">
        <f t="shared" si="6"/>
        <v>25873.989999999998</v>
      </c>
    </row>
    <row r="75" spans="1:13" s="18" customFormat="1" ht="24.95" customHeight="1">
      <c r="A75" s="33" t="s">
        <v>188</v>
      </c>
      <c r="B75" s="67" t="s">
        <v>147</v>
      </c>
      <c r="C75" s="67"/>
      <c r="D75" s="67"/>
      <c r="E75" s="67"/>
      <c r="F75" s="67"/>
      <c r="G75" s="80"/>
      <c r="H75" s="65" t="s">
        <v>230</v>
      </c>
      <c r="I75" s="38" t="s">
        <v>57</v>
      </c>
      <c r="J75" s="41" t="s">
        <v>106</v>
      </c>
      <c r="K75" s="39">
        <f>Plan1!L19</f>
        <v>99.09190000000001</v>
      </c>
      <c r="L75" s="43">
        <v>0.34</v>
      </c>
      <c r="M75" s="40">
        <f t="shared" si="6"/>
        <v>33.691246000000007</v>
      </c>
    </row>
    <row r="76" spans="1:13" s="18" customFormat="1" ht="30" customHeight="1">
      <c r="A76" s="33" t="s">
        <v>189</v>
      </c>
      <c r="B76" s="66" t="s">
        <v>203</v>
      </c>
      <c r="C76" s="66"/>
      <c r="D76" s="66"/>
      <c r="E76" s="66"/>
      <c r="F76" s="66"/>
      <c r="G76" s="66"/>
      <c r="H76" s="38">
        <v>72887</v>
      </c>
      <c r="I76" s="38" t="s">
        <v>37</v>
      </c>
      <c r="J76" s="38" t="s">
        <v>201</v>
      </c>
      <c r="K76" s="39">
        <f>(K77+K78)*16*1.1</f>
        <v>506.00000000000006</v>
      </c>
      <c r="L76" s="43">
        <f>L51</f>
        <v>1.02</v>
      </c>
      <c r="M76" s="40">
        <f t="shared" ref="M76" si="7">K76*L76</f>
        <v>516.12000000000012</v>
      </c>
    </row>
    <row r="77" spans="1:13" s="18" customFormat="1" ht="24.95" customHeight="1">
      <c r="A77" s="33" t="s">
        <v>190</v>
      </c>
      <c r="B77" s="67" t="s">
        <v>146</v>
      </c>
      <c r="C77" s="67"/>
      <c r="D77" s="67"/>
      <c r="E77" s="67"/>
      <c r="F77" s="67"/>
      <c r="G77" s="80"/>
      <c r="H77" s="65" t="s">
        <v>231</v>
      </c>
      <c r="I77" s="38" t="s">
        <v>57</v>
      </c>
      <c r="J77" s="41" t="s">
        <v>24</v>
      </c>
      <c r="K77" s="39">
        <f>Plan1!M19</f>
        <v>13.770999999999999</v>
      </c>
      <c r="L77" s="43">
        <v>61.21</v>
      </c>
      <c r="M77" s="40">
        <f t="shared" si="6"/>
        <v>842.92291</v>
      </c>
    </row>
    <row r="78" spans="1:13" s="18" customFormat="1" ht="24.95" customHeight="1">
      <c r="A78" s="33" t="s">
        <v>191</v>
      </c>
      <c r="B78" s="67" t="s">
        <v>148</v>
      </c>
      <c r="C78" s="67"/>
      <c r="D78" s="67"/>
      <c r="E78" s="67"/>
      <c r="F78" s="67"/>
      <c r="G78" s="80"/>
      <c r="H78" s="38">
        <v>4718</v>
      </c>
      <c r="I78" s="38" t="s">
        <v>57</v>
      </c>
      <c r="J78" s="41" t="s">
        <v>24</v>
      </c>
      <c r="K78" s="39">
        <f>Plan1!N19</f>
        <v>14.978999999999999</v>
      </c>
      <c r="L78" s="43">
        <v>58</v>
      </c>
      <c r="M78" s="40">
        <f t="shared" si="6"/>
        <v>868.78199999999993</v>
      </c>
    </row>
    <row r="79" spans="1:13" ht="24.95" customHeight="1">
      <c r="A79" s="20" t="s">
        <v>9</v>
      </c>
      <c r="B79" s="70" t="s">
        <v>8</v>
      </c>
      <c r="C79" s="70"/>
      <c r="D79" s="70"/>
      <c r="E79" s="70"/>
      <c r="F79" s="70"/>
      <c r="G79" s="70"/>
      <c r="H79" s="21" t="s">
        <v>9</v>
      </c>
      <c r="I79" s="21" t="s">
        <v>33</v>
      </c>
      <c r="J79" s="21" t="s">
        <v>0</v>
      </c>
      <c r="K79" s="21" t="s">
        <v>7</v>
      </c>
      <c r="L79" s="21" t="s">
        <v>6</v>
      </c>
      <c r="M79" s="21" t="s">
        <v>5</v>
      </c>
    </row>
    <row r="80" spans="1:13" ht="5.0999999999999996" customHeight="1">
      <c r="A80" s="33"/>
      <c r="B80" s="30"/>
      <c r="C80" s="30"/>
      <c r="D80" s="30"/>
      <c r="E80" s="30"/>
      <c r="F80" s="30"/>
      <c r="G80" s="30"/>
      <c r="H80" s="30"/>
      <c r="I80" s="30"/>
      <c r="J80" s="34"/>
      <c r="K80" s="35"/>
      <c r="L80" s="36"/>
      <c r="M80" s="36"/>
    </row>
    <row r="81" spans="1:24" s="18" customFormat="1" ht="30" customHeight="1">
      <c r="A81" s="33" t="s">
        <v>192</v>
      </c>
      <c r="B81" s="67" t="s">
        <v>232</v>
      </c>
      <c r="C81" s="67"/>
      <c r="D81" s="67"/>
      <c r="E81" s="67"/>
      <c r="F81" s="67"/>
      <c r="G81" s="80"/>
      <c r="H81" s="38">
        <v>92788</v>
      </c>
      <c r="I81" s="38" t="s">
        <v>57</v>
      </c>
      <c r="J81" s="41" t="s">
        <v>106</v>
      </c>
      <c r="K81" s="39">
        <f>Plan1!Q19</f>
        <v>83.436000000000007</v>
      </c>
      <c r="L81" s="43">
        <v>5.22</v>
      </c>
      <c r="M81" s="40">
        <f t="shared" ref="M81:M82" si="8">L81*K81</f>
        <v>435.53592000000003</v>
      </c>
    </row>
    <row r="82" spans="1:24" s="18" customFormat="1" ht="30" customHeight="1">
      <c r="A82" s="33" t="s">
        <v>236</v>
      </c>
      <c r="B82" s="67" t="s">
        <v>78</v>
      </c>
      <c r="C82" s="67"/>
      <c r="D82" s="67"/>
      <c r="E82" s="67"/>
      <c r="F82" s="67"/>
      <c r="G82" s="67"/>
      <c r="H82" s="38" t="s">
        <v>77</v>
      </c>
      <c r="I82" s="38" t="s">
        <v>37</v>
      </c>
      <c r="J82" s="41" t="s">
        <v>23</v>
      </c>
      <c r="K82" s="39">
        <f>(388.75+285.67+152.49)*0.9</f>
        <v>744.21900000000005</v>
      </c>
      <c r="L82" s="43">
        <v>9.43</v>
      </c>
      <c r="M82" s="40">
        <f t="shared" si="8"/>
        <v>7017.9851699999999</v>
      </c>
    </row>
    <row r="83" spans="1:24" s="18" customFormat="1" ht="24.95" customHeight="1">
      <c r="A83" s="71" t="s">
        <v>100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9"/>
      <c r="M83" s="82">
        <f>SUM(M58:M82)</f>
        <v>313172.19945972005</v>
      </c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9"/>
    </row>
    <row r="84" spans="1:24" s="18" customFormat="1" ht="24.95" customHeight="1">
      <c r="A84" s="22">
        <v>5</v>
      </c>
      <c r="B84" s="69" t="s">
        <v>62</v>
      </c>
      <c r="C84" s="69"/>
      <c r="D84" s="69"/>
      <c r="E84" s="69"/>
      <c r="F84" s="69"/>
      <c r="G84" s="69"/>
      <c r="H84" s="23"/>
      <c r="I84" s="23"/>
      <c r="J84" s="23"/>
      <c r="K84" s="42"/>
      <c r="L84" s="37"/>
      <c r="M84" s="37"/>
    </row>
    <row r="85" spans="1:24" s="18" customFormat="1" ht="30" customHeight="1">
      <c r="A85" s="33" t="s">
        <v>67</v>
      </c>
      <c r="B85" s="67" t="s">
        <v>82</v>
      </c>
      <c r="C85" s="67"/>
      <c r="D85" s="67"/>
      <c r="E85" s="67"/>
      <c r="F85" s="67"/>
      <c r="G85" s="67"/>
      <c r="H85" s="38" t="s">
        <v>72</v>
      </c>
      <c r="I85" s="38" t="s">
        <v>57</v>
      </c>
      <c r="J85" s="38" t="s">
        <v>22</v>
      </c>
      <c r="K85" s="39">
        <v>94</v>
      </c>
      <c r="L85" s="40">
        <v>87.62</v>
      </c>
      <c r="M85" s="40">
        <f>L85*K85</f>
        <v>8236.2800000000007</v>
      </c>
    </row>
    <row r="86" spans="1:24" s="18" customFormat="1" ht="30" customHeight="1">
      <c r="A86" s="33" t="s">
        <v>68</v>
      </c>
      <c r="B86" s="67" t="s">
        <v>75</v>
      </c>
      <c r="C86" s="67"/>
      <c r="D86" s="67"/>
      <c r="E86" s="67"/>
      <c r="F86" s="67"/>
      <c r="G86" s="67"/>
      <c r="H86" s="38" t="s">
        <v>73</v>
      </c>
      <c r="I86" s="38" t="s">
        <v>57</v>
      </c>
      <c r="J86" s="38" t="s">
        <v>22</v>
      </c>
      <c r="K86" s="39">
        <v>94</v>
      </c>
      <c r="L86" s="40">
        <v>135.94</v>
      </c>
      <c r="M86" s="40">
        <f t="shared" ref="M86:M89" si="9">L86*K86</f>
        <v>12778.36</v>
      </c>
    </row>
    <row r="87" spans="1:24" s="18" customFormat="1" ht="30" customHeight="1">
      <c r="A87" s="33" t="s">
        <v>69</v>
      </c>
      <c r="B87" s="67" t="s">
        <v>76</v>
      </c>
      <c r="C87" s="67"/>
      <c r="D87" s="67"/>
      <c r="E87" s="67"/>
      <c r="F87" s="67"/>
      <c r="G87" s="67"/>
      <c r="H87" s="38" t="s">
        <v>74</v>
      </c>
      <c r="I87" s="38" t="s">
        <v>57</v>
      </c>
      <c r="J87" s="38" t="s">
        <v>22</v>
      </c>
      <c r="K87" s="39">
        <v>10</v>
      </c>
      <c r="L87" s="40">
        <v>97.83</v>
      </c>
      <c r="M87" s="40">
        <f t="shared" si="9"/>
        <v>978.3</v>
      </c>
    </row>
    <row r="88" spans="1:24" s="18" customFormat="1" ht="30" customHeight="1">
      <c r="A88" s="33" t="s">
        <v>70</v>
      </c>
      <c r="B88" s="67" t="s">
        <v>78</v>
      </c>
      <c r="C88" s="67"/>
      <c r="D88" s="67"/>
      <c r="E88" s="67"/>
      <c r="F88" s="67"/>
      <c r="G88" s="67"/>
      <c r="H88" s="38" t="s">
        <v>77</v>
      </c>
      <c r="I88" s="38" t="s">
        <v>57</v>
      </c>
      <c r="J88" s="38" t="s">
        <v>23</v>
      </c>
      <c r="K88" s="39">
        <v>3077.8</v>
      </c>
      <c r="L88" s="40">
        <v>9.43</v>
      </c>
      <c r="M88" s="40">
        <f t="shared" si="9"/>
        <v>29023.654000000002</v>
      </c>
    </row>
    <row r="89" spans="1:24" s="18" customFormat="1" ht="30" customHeight="1">
      <c r="A89" s="33" t="s">
        <v>79</v>
      </c>
      <c r="B89" s="67" t="s">
        <v>235</v>
      </c>
      <c r="C89" s="67"/>
      <c r="D89" s="67"/>
      <c r="E89" s="67"/>
      <c r="F89" s="67"/>
      <c r="G89" s="67"/>
      <c r="H89" s="38" t="s">
        <v>77</v>
      </c>
      <c r="I89" s="38" t="s">
        <v>57</v>
      </c>
      <c r="J89" s="38" t="s">
        <v>23</v>
      </c>
      <c r="K89" s="39">
        <v>2631.05</v>
      </c>
      <c r="L89" s="40">
        <v>9.43</v>
      </c>
      <c r="M89" s="40">
        <f t="shared" si="9"/>
        <v>24810.801500000001</v>
      </c>
    </row>
    <row r="90" spans="1:24" s="18" customFormat="1" ht="24.95" customHeight="1">
      <c r="A90" s="71" t="s">
        <v>100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9"/>
      <c r="M90" s="82">
        <f>SUM(M85:M89)</f>
        <v>75827.395499999999</v>
      </c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9"/>
    </row>
    <row r="91" spans="1:24" s="18" customFormat="1" ht="24.95" customHeight="1">
      <c r="A91" s="22">
        <v>6</v>
      </c>
      <c r="B91" s="69" t="s">
        <v>81</v>
      </c>
      <c r="C91" s="69"/>
      <c r="D91" s="69"/>
      <c r="E91" s="69"/>
      <c r="F91" s="69"/>
      <c r="G91" s="69"/>
      <c r="H91" s="23"/>
      <c r="I91" s="23"/>
      <c r="J91" s="23"/>
      <c r="K91" s="37"/>
      <c r="L91" s="37"/>
      <c r="M91" s="37"/>
    </row>
    <row r="92" spans="1:24" s="18" customFormat="1" ht="30" customHeight="1">
      <c r="A92" s="33" t="s">
        <v>84</v>
      </c>
      <c r="B92" s="67" t="s">
        <v>83</v>
      </c>
      <c r="C92" s="67"/>
      <c r="D92" s="67"/>
      <c r="E92" s="67"/>
      <c r="F92" s="67"/>
      <c r="G92" s="67"/>
      <c r="H92" s="38">
        <v>72947</v>
      </c>
      <c r="I92" s="38" t="s">
        <v>57</v>
      </c>
      <c r="J92" s="38" t="s">
        <v>23</v>
      </c>
      <c r="K92" s="39">
        <f>(((Plan1!B8+Plan1!C8)*4)+(22.3+22.3+22.3)+(105))*0.15</f>
        <v>768.29699999999991</v>
      </c>
      <c r="L92" s="40">
        <v>20.57</v>
      </c>
      <c r="M92" s="40">
        <f>L92*K92</f>
        <v>15803.869289999999</v>
      </c>
    </row>
    <row r="93" spans="1:24" s="18" customFormat="1" ht="24.95" customHeight="1">
      <c r="A93" s="33" t="s">
        <v>90</v>
      </c>
      <c r="B93" s="67" t="s">
        <v>89</v>
      </c>
      <c r="C93" s="67"/>
      <c r="D93" s="67"/>
      <c r="E93" s="67"/>
      <c r="F93" s="67"/>
      <c r="G93" s="67"/>
      <c r="H93" s="38" t="s">
        <v>98</v>
      </c>
      <c r="I93" s="38" t="s">
        <v>97</v>
      </c>
      <c r="J93" s="38" t="s">
        <v>23</v>
      </c>
      <c r="K93" s="39">
        <f>((PI()*(0.4^2))*8)+2.5</f>
        <v>6.5212385965949355</v>
      </c>
      <c r="L93" s="40">
        <v>290.26</v>
      </c>
      <c r="M93" s="40">
        <f t="shared" ref="M93" si="10">L93*K93</f>
        <v>1892.8547150476459</v>
      </c>
    </row>
    <row r="94" spans="1:24" s="18" customFormat="1" ht="24.95" customHeight="1">
      <c r="A94" s="71" t="s">
        <v>100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9"/>
      <c r="M94" s="82">
        <f>SUM(M92:M93)</f>
        <v>17696.724005047643</v>
      </c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9"/>
    </row>
    <row r="95" spans="1:24" s="18" customForma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5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ht="30" customHeight="1">
      <c r="A96" s="70" t="s">
        <v>44</v>
      </c>
      <c r="B96" s="70"/>
      <c r="C96" s="70"/>
      <c r="D96" s="70"/>
      <c r="E96" s="70"/>
      <c r="F96" s="70"/>
      <c r="G96" s="70"/>
      <c r="H96" s="28"/>
      <c r="I96" s="28"/>
      <c r="J96" s="20"/>
      <c r="K96" s="20"/>
      <c r="L96" s="20"/>
      <c r="M96" s="29">
        <f>M94+M90+M83+M56+M40+M34</f>
        <v>1445237.264592601</v>
      </c>
    </row>
    <row r="97" spans="1:24" ht="30" customHeight="1" thickBot="1">
      <c r="A97" s="47"/>
      <c r="B97" s="91" t="s">
        <v>213</v>
      </c>
      <c r="C97" s="91"/>
      <c r="D97" s="91"/>
      <c r="E97" s="91"/>
      <c r="F97" s="91"/>
      <c r="G97" s="91"/>
      <c r="H97" s="48"/>
      <c r="I97" s="48"/>
      <c r="J97" s="47"/>
      <c r="K97" s="47"/>
      <c r="L97" s="47"/>
      <c r="M97" s="49">
        <f>M96+M20</f>
        <v>1542279.419592601</v>
      </c>
    </row>
    <row r="98" spans="1:24" ht="30" customHeight="1" thickBot="1">
      <c r="A98" s="50"/>
      <c r="B98" s="90" t="s">
        <v>107</v>
      </c>
      <c r="C98" s="90"/>
      <c r="D98" s="90"/>
      <c r="E98" s="90"/>
      <c r="F98" s="90"/>
      <c r="G98" s="90"/>
      <c r="H98" s="50"/>
      <c r="I98" s="50"/>
      <c r="J98" s="50"/>
      <c r="K98" s="50"/>
      <c r="L98" s="50"/>
      <c r="M98" s="51">
        <f>M97*0.23</f>
        <v>354724.26650629827</v>
      </c>
    </row>
    <row r="99" spans="1:24" ht="30" customHeight="1">
      <c r="A99" s="62"/>
      <c r="B99" s="89" t="s">
        <v>27</v>
      </c>
      <c r="C99" s="89"/>
      <c r="D99" s="89"/>
      <c r="E99" s="89"/>
      <c r="F99" s="89"/>
      <c r="G99" s="89"/>
      <c r="H99" s="61"/>
      <c r="I99" s="61"/>
      <c r="J99" s="62"/>
      <c r="K99" s="62"/>
      <c r="L99" s="62"/>
      <c r="M99" s="63">
        <f>M97+M98</f>
        <v>1897003.6860988992</v>
      </c>
    </row>
    <row r="100" spans="1:24"/>
    <row r="101" spans="1:24" ht="30" customHeight="1">
      <c r="A101" s="21" t="s">
        <v>216</v>
      </c>
      <c r="B101" s="70" t="s">
        <v>193</v>
      </c>
      <c r="C101" s="70"/>
      <c r="D101" s="70"/>
      <c r="E101" s="70"/>
      <c r="F101" s="70"/>
      <c r="G101" s="70"/>
      <c r="H101" s="21" t="s">
        <v>9</v>
      </c>
      <c r="I101" s="21" t="s">
        <v>33</v>
      </c>
      <c r="J101" s="21" t="s">
        <v>0</v>
      </c>
      <c r="K101" s="21" t="s">
        <v>7</v>
      </c>
      <c r="L101" s="21" t="s">
        <v>6</v>
      </c>
      <c r="M101" s="21" t="s">
        <v>5</v>
      </c>
    </row>
    <row r="102" spans="1:24" ht="30" customHeight="1">
      <c r="A102" s="33" t="s">
        <v>217</v>
      </c>
      <c r="B102" s="67" t="s">
        <v>167</v>
      </c>
      <c r="C102" s="67"/>
      <c r="D102" s="67"/>
      <c r="E102" s="67"/>
      <c r="F102" s="67"/>
      <c r="G102" s="67"/>
      <c r="H102" s="38">
        <v>93567</v>
      </c>
      <c r="I102" s="38" t="s">
        <v>57</v>
      </c>
      <c r="J102" s="38" t="s">
        <v>168</v>
      </c>
      <c r="K102" s="39">
        <v>1</v>
      </c>
      <c r="L102" s="40">
        <v>15708.23</v>
      </c>
      <c r="M102" s="40">
        <f>L102*K102</f>
        <v>15708.23</v>
      </c>
    </row>
    <row r="103" spans="1:24" ht="30" customHeight="1">
      <c r="A103" s="33" t="s">
        <v>218</v>
      </c>
      <c r="B103" s="67" t="s">
        <v>195</v>
      </c>
      <c r="C103" s="67"/>
      <c r="D103" s="67"/>
      <c r="E103" s="67"/>
      <c r="F103" s="67"/>
      <c r="G103" s="67"/>
      <c r="H103" s="38">
        <v>88309</v>
      </c>
      <c r="I103" s="38" t="s">
        <v>57</v>
      </c>
      <c r="J103" s="38" t="s">
        <v>155</v>
      </c>
      <c r="K103" s="39">
        <f>44*4*2</f>
        <v>352</v>
      </c>
      <c r="L103" s="40">
        <v>16.84</v>
      </c>
      <c r="M103" s="40">
        <f>L103*K103</f>
        <v>5927.68</v>
      </c>
    </row>
    <row r="104" spans="1:24" ht="30" customHeight="1">
      <c r="A104" s="33" t="s">
        <v>219</v>
      </c>
      <c r="B104" s="67" t="s">
        <v>194</v>
      </c>
      <c r="C104" s="67"/>
      <c r="D104" s="67"/>
      <c r="E104" s="67"/>
      <c r="F104" s="67"/>
      <c r="G104" s="67"/>
      <c r="H104" s="38">
        <v>88316</v>
      </c>
      <c r="I104" s="38" t="s">
        <v>57</v>
      </c>
      <c r="J104" s="38" t="s">
        <v>155</v>
      </c>
      <c r="K104" s="39">
        <f>44*4*2</f>
        <v>352</v>
      </c>
      <c r="L104" s="40">
        <v>12.04</v>
      </c>
      <c r="M104" s="40">
        <f>L104*K104</f>
        <v>4238.08</v>
      </c>
    </row>
    <row r="105" spans="1:24" ht="30" customHeight="1" thickBot="1">
      <c r="A105" s="71" t="s">
        <v>100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9"/>
      <c r="M105" s="82">
        <f>SUM(M102:M104)</f>
        <v>25873.989999999998</v>
      </c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9"/>
    </row>
    <row r="106" spans="1:24" ht="51.75" customHeight="1">
      <c r="A106" s="52"/>
      <c r="B106" s="53"/>
      <c r="C106" s="53"/>
      <c r="D106" s="53"/>
      <c r="E106" s="53"/>
      <c r="F106" s="53"/>
      <c r="G106" s="53"/>
      <c r="H106" s="53"/>
      <c r="I106" s="53"/>
      <c r="J106" s="52"/>
      <c r="K106" s="52"/>
      <c r="L106" s="52"/>
      <c r="M106" s="54"/>
    </row>
    <row r="107" spans="1:24" ht="20.100000000000001" customHeight="1">
      <c r="A107" s="31"/>
      <c r="B107" s="30"/>
      <c r="C107" s="30"/>
      <c r="D107" s="30"/>
      <c r="E107" s="84"/>
      <c r="F107" s="84"/>
      <c r="G107" s="84"/>
      <c r="H107" s="84"/>
      <c r="I107" s="30"/>
      <c r="J107" s="31"/>
      <c r="K107" s="31"/>
      <c r="L107" s="31"/>
      <c r="M107" s="32"/>
    </row>
    <row r="108" spans="1:24" ht="78" customHeight="1">
      <c r="A108" s="55"/>
      <c r="B108" s="83" t="s">
        <v>101</v>
      </c>
      <c r="C108" s="83"/>
      <c r="D108" s="83"/>
      <c r="E108" s="85" t="s">
        <v>103</v>
      </c>
      <c r="F108" s="85"/>
      <c r="G108" s="85"/>
      <c r="H108" s="85"/>
      <c r="I108" s="85"/>
      <c r="J108" s="55"/>
      <c r="K108" s="55"/>
      <c r="L108" s="55"/>
      <c r="M108" s="32"/>
    </row>
    <row r="109" spans="1:24" ht="39.75" customHeight="1">
      <c r="A109" s="55"/>
      <c r="B109" s="56"/>
      <c r="C109" s="56"/>
      <c r="D109" s="56"/>
      <c r="E109" s="56"/>
      <c r="F109" s="56"/>
      <c r="G109" s="56"/>
      <c r="H109" s="56"/>
      <c r="I109" s="56"/>
      <c r="J109" s="55"/>
      <c r="K109" s="55"/>
      <c r="L109" s="55"/>
      <c r="M109" s="32"/>
    </row>
    <row r="110" spans="1:24" ht="20.100000000000001" customHeight="1"/>
    <row r="111" spans="1:24" ht="20.100000000000001" customHeight="1"/>
    <row r="112" spans="1:24" ht="20.100000000000001" customHeight="1"/>
    <row r="113" spans="12:12" ht="20.100000000000001" customHeight="1"/>
    <row r="114" spans="12:12" ht="20.100000000000001" customHeight="1"/>
    <row r="115" spans="12:12" ht="20.100000000000001" customHeight="1">
      <c r="L115" s="57"/>
    </row>
    <row r="116" spans="12:12" ht="20.100000000000001" customHeight="1"/>
    <row r="117" spans="12:12" ht="20.100000000000001" customHeight="1"/>
    <row r="118" spans="12:12" ht="20.100000000000001" customHeight="1"/>
    <row r="119" spans="12:12" ht="20.100000000000001" customHeight="1"/>
    <row r="120" spans="12:12" ht="20.100000000000001" customHeight="1"/>
    <row r="121" spans="12:12" ht="20.100000000000001" customHeight="1"/>
    <row r="122" spans="12:12" ht="20.100000000000001" customHeight="1"/>
    <row r="123" spans="12:12" ht="20.100000000000001" customHeight="1"/>
    <row r="124" spans="12:12" ht="20.100000000000001" customHeight="1"/>
    <row r="125" spans="12:12" ht="20.100000000000001" customHeight="1"/>
    <row r="126" spans="12:12"/>
    <row r="127" spans="12:12"/>
    <row r="128" spans="12:12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 hidden="1"/>
    <row r="492" hidden="1"/>
    <row r="493" hidden="1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</sheetData>
  <mergeCells count="108">
    <mergeCell ref="A1:K1"/>
    <mergeCell ref="B79:G79"/>
    <mergeCell ref="B76:G76"/>
    <mergeCell ref="B101:G101"/>
    <mergeCell ref="B102:G102"/>
    <mergeCell ref="B103:G103"/>
    <mergeCell ref="A105:L105"/>
    <mergeCell ref="B99:G99"/>
    <mergeCell ref="B98:G98"/>
    <mergeCell ref="B97:G97"/>
    <mergeCell ref="B75:G75"/>
    <mergeCell ref="B53:G53"/>
    <mergeCell ref="A40:L40"/>
    <mergeCell ref="B47:G47"/>
    <mergeCell ref="B37:G37"/>
    <mergeCell ref="B35:G35"/>
    <mergeCell ref="B38:G38"/>
    <mergeCell ref="B39:G39"/>
    <mergeCell ref="B42:G42"/>
    <mergeCell ref="B13:G13"/>
    <mergeCell ref="B36:G36"/>
    <mergeCell ref="B27:G27"/>
    <mergeCell ref="B16:G16"/>
    <mergeCell ref="B26:G26"/>
    <mergeCell ref="M40:X40"/>
    <mergeCell ref="A34:L34"/>
    <mergeCell ref="M34:X34"/>
    <mergeCell ref="B108:D108"/>
    <mergeCell ref="E107:H107"/>
    <mergeCell ref="E108:I108"/>
    <mergeCell ref="M83:X83"/>
    <mergeCell ref="A94:L94"/>
    <mergeCell ref="M94:X94"/>
    <mergeCell ref="A56:L56"/>
    <mergeCell ref="M56:X56"/>
    <mergeCell ref="A96:G96"/>
    <mergeCell ref="B41:G41"/>
    <mergeCell ref="B58:G58"/>
    <mergeCell ref="A90:L90"/>
    <mergeCell ref="M90:X90"/>
    <mergeCell ref="M105:X105"/>
    <mergeCell ref="B61:G61"/>
    <mergeCell ref="B64:G64"/>
    <mergeCell ref="B59:G59"/>
    <mergeCell ref="B60:G60"/>
    <mergeCell ref="B62:G62"/>
    <mergeCell ref="B63:G63"/>
    <mergeCell ref="B104:G104"/>
    <mergeCell ref="B28:G28"/>
    <mergeCell ref="B33:G33"/>
    <mergeCell ref="B30:G30"/>
    <mergeCell ref="B31:G31"/>
    <mergeCell ref="B32:G32"/>
    <mergeCell ref="A20:G20"/>
    <mergeCell ref="B29:G29"/>
    <mergeCell ref="B45:G45"/>
    <mergeCell ref="B17:G17"/>
    <mergeCell ref="B18:G18"/>
    <mergeCell ref="B19:G19"/>
    <mergeCell ref="B91:G91"/>
    <mergeCell ref="B92:G92"/>
    <mergeCell ref="B93:G93"/>
    <mergeCell ref="B84:G84"/>
    <mergeCell ref="B86:G86"/>
    <mergeCell ref="B88:G88"/>
    <mergeCell ref="B85:G85"/>
    <mergeCell ref="B87:G87"/>
    <mergeCell ref="A9:M9"/>
    <mergeCell ref="A22:M22"/>
    <mergeCell ref="B24:G24"/>
    <mergeCell ref="A14:M14"/>
    <mergeCell ref="B15:G15"/>
    <mergeCell ref="A11:M11"/>
    <mergeCell ref="B89:G89"/>
    <mergeCell ref="A83:L83"/>
    <mergeCell ref="B77:G77"/>
    <mergeCell ref="B78:G78"/>
    <mergeCell ref="B71:G71"/>
    <mergeCell ref="B81:G81"/>
    <mergeCell ref="B74:G74"/>
    <mergeCell ref="B73:G73"/>
    <mergeCell ref="B65:M65"/>
    <mergeCell ref="B68:G68"/>
    <mergeCell ref="A7:B7"/>
    <mergeCell ref="K7:L7"/>
    <mergeCell ref="A2:C2"/>
    <mergeCell ref="E2:G2"/>
    <mergeCell ref="K2:M2"/>
    <mergeCell ref="A3:C5"/>
    <mergeCell ref="E3:G5"/>
    <mergeCell ref="K3:M5"/>
    <mergeCell ref="K8:L8"/>
    <mergeCell ref="B69:G69"/>
    <mergeCell ref="B70:G70"/>
    <mergeCell ref="B82:G82"/>
    <mergeCell ref="B55:G55"/>
    <mergeCell ref="B51:G51"/>
    <mergeCell ref="B50:G50"/>
    <mergeCell ref="B43:G43"/>
    <mergeCell ref="B72:G72"/>
    <mergeCell ref="B57:G57"/>
    <mergeCell ref="B66:G66"/>
    <mergeCell ref="B67:G67"/>
    <mergeCell ref="B44:G44"/>
    <mergeCell ref="B46:G46"/>
    <mergeCell ref="B54:G54"/>
    <mergeCell ref="B52:G52"/>
    <mergeCell ref="B48:G48"/>
  </mergeCells>
  <printOptions horizontalCentered="1"/>
  <pageMargins left="0.98425196850393704" right="0.98425196850393704" top="0.39370078740157483" bottom="0.39370078740157483" header="0.31496062992125984" footer="0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topLeftCell="E14" workbookViewId="0">
      <selection activeCell="H35" sqref="H35"/>
    </sheetView>
  </sheetViews>
  <sheetFormatPr defaultRowHeight="1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>
      <c r="D2" s="1"/>
      <c r="E2" s="3"/>
      <c r="F2" s="3"/>
      <c r="G2" s="1"/>
      <c r="H2" s="4" t="s">
        <v>108</v>
      </c>
      <c r="I2" s="4"/>
      <c r="J2" s="4"/>
      <c r="K2" s="4"/>
      <c r="L2" s="1"/>
      <c r="M2" s="1"/>
      <c r="N2" s="1"/>
      <c r="O2" s="1"/>
      <c r="P2" s="1"/>
      <c r="Q2" s="1"/>
      <c r="R2" s="1"/>
    </row>
    <row r="3" spans="1:18" ht="105">
      <c r="D3" s="5" t="s">
        <v>109</v>
      </c>
      <c r="E3" s="6" t="s">
        <v>110</v>
      </c>
      <c r="F3" s="6"/>
      <c r="G3" s="5" t="s">
        <v>111</v>
      </c>
      <c r="H3" s="5" t="s">
        <v>112</v>
      </c>
      <c r="I3" s="5" t="s">
        <v>113</v>
      </c>
      <c r="J3" s="5" t="s">
        <v>114</v>
      </c>
      <c r="K3" s="5" t="s">
        <v>115</v>
      </c>
      <c r="L3" s="5" t="s">
        <v>116</v>
      </c>
      <c r="M3" s="5" t="s">
        <v>117</v>
      </c>
      <c r="N3" s="5" t="s">
        <v>118</v>
      </c>
      <c r="O3" s="5" t="s">
        <v>119</v>
      </c>
      <c r="P3" s="5" t="s">
        <v>120</v>
      </c>
      <c r="Q3" s="5" t="s">
        <v>121</v>
      </c>
      <c r="R3" s="5" t="s">
        <v>122</v>
      </c>
    </row>
    <row r="4" spans="1:18">
      <c r="D4" s="1" t="s">
        <v>123</v>
      </c>
      <c r="E4" s="3" t="s">
        <v>124</v>
      </c>
      <c r="F4" s="3" t="s">
        <v>125</v>
      </c>
      <c r="G4" s="1">
        <v>1</v>
      </c>
      <c r="H4" s="1">
        <v>1.83</v>
      </c>
      <c r="I4" s="1">
        <v>9.65</v>
      </c>
      <c r="J4" s="1">
        <v>1.41</v>
      </c>
      <c r="K4" s="1">
        <v>6.18</v>
      </c>
      <c r="L4" s="1"/>
      <c r="M4" s="1"/>
      <c r="N4" s="1"/>
      <c r="O4" s="1"/>
      <c r="P4" s="1"/>
      <c r="Q4" s="1"/>
      <c r="R4" s="1"/>
    </row>
    <row r="5" spans="1:18">
      <c r="D5" s="1" t="s">
        <v>123</v>
      </c>
      <c r="E5" s="3" t="s">
        <v>126</v>
      </c>
      <c r="F5" s="3" t="s">
        <v>125</v>
      </c>
      <c r="G5" s="1">
        <v>1</v>
      </c>
      <c r="H5" s="1">
        <v>2.59</v>
      </c>
      <c r="I5" s="1">
        <v>11.63</v>
      </c>
      <c r="J5" s="1">
        <v>2.0699999999999998</v>
      </c>
      <c r="K5" s="1">
        <v>8.81</v>
      </c>
      <c r="L5" s="1"/>
      <c r="M5" s="1"/>
      <c r="N5" s="1"/>
      <c r="O5" s="1"/>
      <c r="P5" s="1"/>
      <c r="Q5" s="1"/>
      <c r="R5" s="1"/>
    </row>
    <row r="6" spans="1:18">
      <c r="D6" s="1" t="s">
        <v>123</v>
      </c>
      <c r="E6" s="3" t="s">
        <v>127</v>
      </c>
      <c r="F6" s="3" t="s">
        <v>125</v>
      </c>
      <c r="G6" s="1">
        <v>2</v>
      </c>
      <c r="H6" s="1">
        <f>1.2*G6</f>
        <v>2.4</v>
      </c>
      <c r="I6" s="1">
        <f>7.67*G6</f>
        <v>15.34</v>
      </c>
      <c r="J6" s="1">
        <f>0.87*G6</f>
        <v>1.74</v>
      </c>
      <c r="K6" s="1">
        <f>4.03*G6</f>
        <v>8.06</v>
      </c>
      <c r="L6" s="1"/>
      <c r="M6" s="1"/>
      <c r="N6" s="1"/>
      <c r="O6" s="1"/>
      <c r="P6" s="1"/>
      <c r="Q6" s="1"/>
      <c r="R6" s="1"/>
    </row>
    <row r="7" spans="1:18">
      <c r="A7" s="1"/>
      <c r="B7" s="1" t="s">
        <v>85</v>
      </c>
      <c r="C7" s="2" t="s">
        <v>86</v>
      </c>
      <c r="D7" s="1" t="s">
        <v>128</v>
      </c>
      <c r="E7" s="3" t="s">
        <v>129</v>
      </c>
      <c r="F7" s="3" t="s">
        <v>125</v>
      </c>
      <c r="G7" s="1">
        <v>1</v>
      </c>
      <c r="H7" s="1">
        <f>0.35*2.8</f>
        <v>0.97999999999999987</v>
      </c>
      <c r="I7" s="1">
        <f>2.83*2.8</f>
        <v>7.9239999999999995</v>
      </c>
      <c r="J7" s="1"/>
      <c r="K7" s="1">
        <f>1.24*2.8</f>
        <v>3.472</v>
      </c>
      <c r="L7" s="1"/>
      <c r="M7" s="1"/>
      <c r="N7" s="1"/>
      <c r="O7" s="1"/>
      <c r="P7" s="1"/>
      <c r="Q7" s="1">
        <f>10.57*2.8</f>
        <v>29.596</v>
      </c>
      <c r="R7" s="1"/>
    </row>
    <row r="8" spans="1:18">
      <c r="A8" s="1" t="s">
        <v>87</v>
      </c>
      <c r="B8" s="1">
        <f>(15*20)+17.42</f>
        <v>317.42</v>
      </c>
      <c r="C8" s="2">
        <f>(46*20)+0.1</f>
        <v>920.1</v>
      </c>
      <c r="D8" s="1" t="s">
        <v>128</v>
      </c>
      <c r="E8" s="3" t="s">
        <v>130</v>
      </c>
      <c r="F8" s="3" t="s">
        <v>125</v>
      </c>
      <c r="G8" s="1">
        <v>1</v>
      </c>
      <c r="H8" s="1">
        <f>0.42*2.4</f>
        <v>1.008</v>
      </c>
      <c r="I8" s="1">
        <f>3.03*2.4</f>
        <v>7.2719999999999994</v>
      </c>
      <c r="J8" s="1"/>
      <c r="K8" s="1">
        <f>1.28*2.4</f>
        <v>3.0720000000000001</v>
      </c>
      <c r="L8" s="1"/>
      <c r="M8" s="1"/>
      <c r="N8" s="1"/>
      <c r="O8" s="1"/>
      <c r="P8" s="1"/>
      <c r="Q8" s="1">
        <v>11.14</v>
      </c>
      <c r="R8" s="1"/>
    </row>
    <row r="9" spans="1:18">
      <c r="A9" s="1" t="s">
        <v>88</v>
      </c>
      <c r="B9" s="1">
        <v>23</v>
      </c>
      <c r="C9" s="2">
        <v>14</v>
      </c>
      <c r="D9" s="1" t="s">
        <v>131</v>
      </c>
      <c r="E9" s="7" t="s">
        <v>132</v>
      </c>
      <c r="F9" s="3" t="s">
        <v>125</v>
      </c>
      <c r="G9" s="1">
        <v>2</v>
      </c>
      <c r="H9" s="1">
        <f>4.205*2</f>
        <v>8.41</v>
      </c>
      <c r="I9" s="1">
        <f>18.19*G9</f>
        <v>36.380000000000003</v>
      </c>
      <c r="J9" s="1"/>
      <c r="K9" s="1"/>
      <c r="L9" s="1">
        <f>20.602*G9</f>
        <v>41.204000000000001</v>
      </c>
      <c r="M9" s="1">
        <f>2.86*G9</f>
        <v>5.72</v>
      </c>
      <c r="N9" s="1">
        <f>3.111*G9</f>
        <v>6.2220000000000004</v>
      </c>
      <c r="O9" s="1">
        <f>0.673*G9</f>
        <v>1.3460000000000001</v>
      </c>
      <c r="P9" s="1">
        <f>0.455*G9</f>
        <v>0.91</v>
      </c>
      <c r="Q9" s="1"/>
      <c r="R9" s="1"/>
    </row>
    <row r="10" spans="1:18">
      <c r="A10" s="1"/>
      <c r="B10" s="1"/>
      <c r="C10" s="2"/>
      <c r="D10" s="1" t="s">
        <v>131</v>
      </c>
      <c r="E10" s="7" t="s">
        <v>133</v>
      </c>
      <c r="F10" s="3" t="s">
        <v>125</v>
      </c>
      <c r="G10" s="8">
        <v>2</v>
      </c>
      <c r="H10" s="1">
        <f>1.38*G10</f>
        <v>2.76</v>
      </c>
      <c r="I10" s="1">
        <f>8.71*G10</f>
        <v>17.420000000000002</v>
      </c>
      <c r="J10" s="1"/>
      <c r="K10" s="1"/>
      <c r="L10" s="1">
        <f>6.761*G10</f>
        <v>13.522</v>
      </c>
      <c r="M10" s="1">
        <f>0.939*G10</f>
        <v>1.8779999999999999</v>
      </c>
      <c r="N10" s="1">
        <f>1.021*G10</f>
        <v>2.0419999999999998</v>
      </c>
      <c r="O10" s="1">
        <f>0.276*G10</f>
        <v>0.55200000000000005</v>
      </c>
      <c r="P10" s="1">
        <f>0.267*G10</f>
        <v>0.53400000000000003</v>
      </c>
      <c r="Q10" s="1"/>
      <c r="R10" s="1"/>
    </row>
    <row r="11" spans="1:18">
      <c r="A11" s="1"/>
      <c r="B11" s="1"/>
      <c r="C11" s="2"/>
      <c r="D11" s="1" t="s">
        <v>131</v>
      </c>
      <c r="E11" s="7" t="s">
        <v>134</v>
      </c>
      <c r="F11" s="3" t="s">
        <v>125</v>
      </c>
      <c r="G11" s="8">
        <v>1</v>
      </c>
      <c r="H11" s="1">
        <v>2.5390000000000001</v>
      </c>
      <c r="I11" s="1">
        <v>13.03</v>
      </c>
      <c r="J11" s="1"/>
      <c r="K11" s="1"/>
      <c r="L11" s="1">
        <v>12.3439</v>
      </c>
      <c r="M11" s="1">
        <v>1.7270000000000001</v>
      </c>
      <c r="N11" s="1">
        <v>1.879</v>
      </c>
      <c r="O11" s="1">
        <v>0.40600000000000003</v>
      </c>
      <c r="P11" s="1">
        <v>0.32600000000000001</v>
      </c>
      <c r="Q11" s="1"/>
      <c r="R11" s="1"/>
    </row>
    <row r="12" spans="1:18">
      <c r="A12" s="1"/>
      <c r="B12" s="1">
        <f>B8+C8</f>
        <v>1237.52</v>
      </c>
      <c r="C12" s="2"/>
      <c r="D12" s="1" t="s">
        <v>131</v>
      </c>
      <c r="E12" s="7" t="s">
        <v>135</v>
      </c>
      <c r="F12" s="3" t="s">
        <v>125</v>
      </c>
      <c r="G12" s="8">
        <v>1</v>
      </c>
      <c r="H12" s="1">
        <v>6.5359999999999996</v>
      </c>
      <c r="I12" s="1">
        <v>24</v>
      </c>
      <c r="J12" s="1"/>
      <c r="K12" s="1"/>
      <c r="L12" s="1">
        <v>32.021999999999998</v>
      </c>
      <c r="M12" s="1">
        <v>4.4459999999999997</v>
      </c>
      <c r="N12" s="1">
        <v>4.8360000000000003</v>
      </c>
      <c r="O12" s="1">
        <v>1.046</v>
      </c>
      <c r="P12" s="1">
        <v>0.6</v>
      </c>
      <c r="Q12" s="1"/>
      <c r="R12" s="1"/>
    </row>
    <row r="13" spans="1:18">
      <c r="A13" s="1"/>
      <c r="B13" s="1">
        <f>B12*4</f>
        <v>4950.08</v>
      </c>
      <c r="C13" s="2"/>
      <c r="D13" s="1" t="s">
        <v>136</v>
      </c>
      <c r="E13" s="3" t="s">
        <v>137</v>
      </c>
      <c r="F13" s="3" t="s">
        <v>125</v>
      </c>
      <c r="G13" s="8">
        <v>1</v>
      </c>
      <c r="H13" s="1">
        <v>1.67</v>
      </c>
      <c r="I13" s="1">
        <v>15.05</v>
      </c>
      <c r="J13" s="1"/>
      <c r="K13" s="1"/>
      <c r="L13" s="1"/>
      <c r="M13" s="1"/>
      <c r="N13" s="1"/>
      <c r="O13" s="1"/>
      <c r="P13" s="1"/>
      <c r="Q13" s="1">
        <v>17</v>
      </c>
      <c r="R13" s="1"/>
    </row>
    <row r="14" spans="1:18">
      <c r="D14" s="1" t="s">
        <v>136</v>
      </c>
      <c r="E14" s="3" t="s">
        <v>138</v>
      </c>
      <c r="F14" s="3" t="s">
        <v>125</v>
      </c>
      <c r="G14" s="8">
        <v>1</v>
      </c>
      <c r="H14" s="1">
        <v>2.89</v>
      </c>
      <c r="I14" s="1">
        <v>23.62</v>
      </c>
      <c r="J14" s="1"/>
      <c r="K14" s="1"/>
      <c r="L14" s="1"/>
      <c r="M14" s="1"/>
      <c r="N14" s="1"/>
      <c r="O14" s="1"/>
      <c r="P14" s="1"/>
      <c r="Q14" s="1">
        <v>25.7</v>
      </c>
      <c r="R14" s="1"/>
    </row>
    <row r="15" spans="1:18">
      <c r="D15" s="1" t="s">
        <v>139</v>
      </c>
      <c r="E15" s="3" t="s">
        <v>140</v>
      </c>
      <c r="F15" s="3" t="s">
        <v>125</v>
      </c>
      <c r="G15" s="8">
        <v>1</v>
      </c>
      <c r="H15" s="1">
        <v>2.4500000000000002</v>
      </c>
      <c r="I15" s="1">
        <v>25.6</v>
      </c>
      <c r="J15" s="1"/>
      <c r="K15" s="1">
        <v>19</v>
      </c>
      <c r="L15" s="1"/>
      <c r="M15" s="1"/>
      <c r="N15" s="1"/>
      <c r="O15" s="1"/>
      <c r="P15" s="1"/>
      <c r="Q15" s="1"/>
      <c r="R15" s="1">
        <v>6</v>
      </c>
    </row>
    <row r="16" spans="1:18">
      <c r="D16" s="1" t="s">
        <v>139</v>
      </c>
      <c r="E16" s="3" t="s">
        <v>141</v>
      </c>
      <c r="F16" s="3" t="s">
        <v>125</v>
      </c>
      <c r="G16" s="8">
        <v>1</v>
      </c>
      <c r="H16" s="1">
        <v>2.5499999999999998</v>
      </c>
      <c r="I16" s="1">
        <v>25.6</v>
      </c>
      <c r="J16" s="1"/>
      <c r="K16" s="1">
        <v>19</v>
      </c>
      <c r="L16" s="1"/>
      <c r="M16" s="1"/>
      <c r="N16" s="1"/>
      <c r="O16" s="1"/>
      <c r="P16" s="1"/>
      <c r="Q16" s="1"/>
      <c r="R16" s="1">
        <v>6</v>
      </c>
    </row>
    <row r="17" spans="4:18">
      <c r="D17" s="1" t="s">
        <v>139</v>
      </c>
      <c r="E17" s="3" t="s">
        <v>142</v>
      </c>
      <c r="F17" s="3" t="s">
        <v>125</v>
      </c>
      <c r="G17" s="8">
        <v>1</v>
      </c>
      <c r="H17" s="1">
        <v>2.2000000000000002</v>
      </c>
      <c r="I17" s="1">
        <v>20.3</v>
      </c>
      <c r="J17" s="1"/>
      <c r="K17" s="1">
        <v>15</v>
      </c>
      <c r="L17" s="1"/>
      <c r="M17" s="1"/>
      <c r="N17" s="1"/>
      <c r="O17" s="1"/>
      <c r="P17" s="1"/>
      <c r="Q17" s="1"/>
      <c r="R17" s="1">
        <v>5</v>
      </c>
    </row>
    <row r="18" spans="4:18">
      <c r="D18" s="1" t="s">
        <v>143</v>
      </c>
      <c r="E18" s="3" t="s">
        <v>144</v>
      </c>
      <c r="F18" s="3" t="s">
        <v>125</v>
      </c>
      <c r="G18" s="8">
        <v>1</v>
      </c>
      <c r="H18" s="1">
        <v>2.2599999999999998</v>
      </c>
      <c r="I18" s="1">
        <v>20.3</v>
      </c>
      <c r="J18" s="1"/>
      <c r="K18" s="1">
        <v>15</v>
      </c>
      <c r="L18" s="1"/>
      <c r="M18" s="1"/>
      <c r="N18" s="1"/>
      <c r="O18" s="1"/>
      <c r="P18" s="1"/>
      <c r="Q18" s="1"/>
      <c r="R18" s="1">
        <v>5</v>
      </c>
    </row>
    <row r="19" spans="4:18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>
      <c r="H20" s="5" t="s">
        <v>112</v>
      </c>
      <c r="I20" s="5" t="s">
        <v>113</v>
      </c>
      <c r="J20" s="5" t="s">
        <v>114</v>
      </c>
      <c r="K20" s="5" t="s">
        <v>115</v>
      </c>
      <c r="L20" s="5" t="s">
        <v>116</v>
      </c>
      <c r="M20" s="5" t="s">
        <v>117</v>
      </c>
      <c r="N20" s="5" t="s">
        <v>118</v>
      </c>
      <c r="O20" s="5" t="s">
        <v>119</v>
      </c>
      <c r="P20" s="5" t="s">
        <v>120</v>
      </c>
      <c r="Q20" s="5" t="s">
        <v>121</v>
      </c>
      <c r="R20" s="5" t="s">
        <v>122</v>
      </c>
    </row>
    <row r="24" spans="4:18">
      <c r="H24" s="92" t="s">
        <v>150</v>
      </c>
      <c r="I24" s="92"/>
      <c r="J24" s="92"/>
      <c r="K24" s="92"/>
      <c r="L24" s="92"/>
      <c r="M24" s="92"/>
      <c r="N24" s="92"/>
    </row>
    <row r="25" spans="4:18">
      <c r="H25" s="1" t="s">
        <v>152</v>
      </c>
      <c r="I25" s="1" t="s">
        <v>153</v>
      </c>
      <c r="J25" s="1" t="s">
        <v>154</v>
      </c>
      <c r="K25" s="1" t="s">
        <v>155</v>
      </c>
      <c r="L25" s="1" t="s">
        <v>87</v>
      </c>
      <c r="M25" s="1" t="s">
        <v>156</v>
      </c>
      <c r="N25" s="1" t="s">
        <v>157</v>
      </c>
    </row>
    <row r="26" spans="4:18">
      <c r="H26" s="1" t="s">
        <v>151</v>
      </c>
      <c r="I26" s="1">
        <v>2.5</v>
      </c>
      <c r="J26" s="1">
        <v>1</v>
      </c>
      <c r="K26" s="1">
        <v>0.5</v>
      </c>
      <c r="L26" s="1">
        <v>105.22</v>
      </c>
      <c r="M26" s="1">
        <f>1.5*L26</f>
        <v>157.82999999999998</v>
      </c>
      <c r="N26" s="1">
        <f>3.9142*0.4*L26</f>
        <v>164.74084960000002</v>
      </c>
    </row>
    <row r="27" spans="4:18">
      <c r="H27" s="1" t="s">
        <v>160</v>
      </c>
      <c r="I27" s="1">
        <v>4</v>
      </c>
      <c r="J27" s="1">
        <v>2</v>
      </c>
      <c r="K27" s="1">
        <v>0.5</v>
      </c>
      <c r="L27" s="1">
        <v>10</v>
      </c>
      <c r="M27" s="1">
        <f>2.5*L27</f>
        <v>25</v>
      </c>
      <c r="N27" s="1">
        <f>6.2361*0.4*L27</f>
        <v>24.944400000000005</v>
      </c>
    </row>
    <row r="28" spans="4:18">
      <c r="H28" s="1" t="s">
        <v>161</v>
      </c>
      <c r="I28" s="1">
        <v>2</v>
      </c>
      <c r="J28" s="1">
        <v>1</v>
      </c>
      <c r="K28" s="1">
        <v>0.5</v>
      </c>
      <c r="L28" s="1">
        <v>81.47</v>
      </c>
      <c r="M28" s="1">
        <f>1.25*L28</f>
        <v>101.83750000000001</v>
      </c>
      <c r="N28" s="1">
        <f>3.4142*0.4*L28</f>
        <v>111.26194960000002</v>
      </c>
    </row>
    <row r="29" spans="4:18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>
      <c r="H32" t="s">
        <v>162</v>
      </c>
    </row>
    <row r="33" spans="7:9">
      <c r="G33" t="s">
        <v>104</v>
      </c>
      <c r="H33">
        <f>((16*16)-(8*8))*2</f>
        <v>384</v>
      </c>
      <c r="I33" t="s">
        <v>163</v>
      </c>
    </row>
    <row r="34" spans="7:9">
      <c r="G34" t="s">
        <v>157</v>
      </c>
      <c r="H34">
        <f>33.2982*12*0.4</f>
        <v>159.83136000000002</v>
      </c>
      <c r="I34" t="s">
        <v>164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Derek.Rosa</cp:lastModifiedBy>
  <cp:lastPrinted>2018-05-28T14:14:38Z</cp:lastPrinted>
  <dcterms:created xsi:type="dcterms:W3CDTF">2016-11-16T21:26:51Z</dcterms:created>
  <dcterms:modified xsi:type="dcterms:W3CDTF">2018-06-18T20:42:16Z</dcterms:modified>
</cp:coreProperties>
</file>